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mati\Desktop\Talas Partners\Clients\XValuator\BP Xvaluator\Doc ref\"/>
    </mc:Choice>
  </mc:AlternateContent>
  <xr:revisionPtr revIDLastSave="0" documentId="13_ncr:1_{C3DA2D2F-0E43-4302-9E01-F50A063ACB33}" xr6:coauthVersionLast="46" xr6:coauthVersionMax="46" xr10:uidLastSave="{00000000-0000-0000-0000-000000000000}"/>
  <bookViews>
    <workbookView xWindow="-98" yWindow="-98" windowWidth="22695" windowHeight="15196" firstSheet="2" activeTab="5" xr2:uid="{00000000-000D-0000-FFFF-FFFF00000000}"/>
  </bookViews>
  <sheets>
    <sheet name="Hypothèses de recrutement" sheetId="1" r:id="rId1"/>
    <sheet name="Hypothèses de coûts" sheetId="3" r:id="rId2"/>
    <sheet name="Hypothèses de revenus" sheetId="4" r:id="rId3"/>
    <sheet name="Hypothèses de financement" sheetId="8" r:id="rId4"/>
    <sheet name="Hypothèses de CAPEX" sheetId="6" r:id="rId5"/>
    <sheet name="Compte de résultat" sheetId="2" r:id="rId6"/>
    <sheet name="Balance Sheet" sheetId="5" r:id="rId7"/>
    <sheet name="Calcul du CIR" sheetId="7" r:id="rId8"/>
    <sheet name="Flux de trésorerie (p)" sheetId="9" r:id="rId9"/>
    <sheet name="DCF model" sheetId="10" r:id="rId10"/>
    <sheet name="Amortissement dettes" sheetId="11" r:id="rId1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5" i="2" l="1"/>
  <c r="J95" i="2"/>
  <c r="K95" i="2"/>
  <c r="L95" i="2"/>
  <c r="M95" i="2"/>
  <c r="N95" i="2"/>
  <c r="O95" i="2"/>
  <c r="P95" i="2"/>
  <c r="Q95" i="2"/>
  <c r="H95" i="2"/>
  <c r="F28" i="9"/>
  <c r="G28" i="9"/>
  <c r="H28" i="9"/>
  <c r="I28" i="9"/>
  <c r="J28" i="9"/>
  <c r="K28" i="9"/>
  <c r="L28" i="9"/>
  <c r="M28" i="9"/>
  <c r="N28" i="9"/>
  <c r="M3" i="10"/>
  <c r="L23" i="3"/>
  <c r="M23" i="3" s="1"/>
  <c r="L24" i="3"/>
  <c r="M24" i="3"/>
  <c r="L25" i="3"/>
  <c r="M25" i="3"/>
  <c r="L26" i="3"/>
  <c r="M26" i="3"/>
  <c r="L27" i="3"/>
  <c r="M27" i="3" s="1"/>
  <c r="L28" i="3"/>
  <c r="M28" i="3"/>
  <c r="K24" i="3"/>
  <c r="K25" i="3"/>
  <c r="K26" i="3"/>
  <c r="K27" i="3"/>
  <c r="K28" i="3"/>
  <c r="K23" i="3"/>
  <c r="L3" i="10"/>
  <c r="M69" i="2"/>
  <c r="H70" i="5"/>
  <c r="H74" i="5" s="1"/>
  <c r="I68" i="2"/>
  <c r="I69" i="2" s="1"/>
  <c r="J68" i="2"/>
  <c r="J69" i="2" s="1"/>
  <c r="K68" i="2"/>
  <c r="K69" i="2" s="1"/>
  <c r="L68" i="2"/>
  <c r="L69" i="2" s="1"/>
  <c r="M68" i="2"/>
  <c r="N68" i="2"/>
  <c r="N69" i="2" s="1"/>
  <c r="O68" i="2"/>
  <c r="O69" i="2" s="1"/>
  <c r="P68" i="2"/>
  <c r="P69" i="2" s="1"/>
  <c r="Q68" i="2"/>
  <c r="Q69" i="2" s="1"/>
  <c r="H68" i="2"/>
  <c r="H69" i="2" s="1"/>
  <c r="J27" i="3"/>
  <c r="J28" i="3"/>
  <c r="I23" i="3"/>
  <c r="J23" i="3" s="1"/>
  <c r="I24" i="3"/>
  <c r="J24" i="3" s="1"/>
  <c r="I25" i="3"/>
  <c r="J25" i="3" s="1"/>
  <c r="I26" i="3"/>
  <c r="J26" i="3" s="1"/>
  <c r="I27" i="3"/>
  <c r="I28" i="3"/>
  <c r="S5" i="1"/>
  <c r="T5" i="1"/>
  <c r="U5" i="1"/>
  <c r="V5" i="1"/>
  <c r="W5" i="1"/>
  <c r="X5" i="1"/>
  <c r="Y5" i="1"/>
  <c r="Z5" i="1"/>
  <c r="AA5" i="1"/>
  <c r="S6" i="1"/>
  <c r="T6" i="1"/>
  <c r="U6" i="1"/>
  <c r="V6" i="1"/>
  <c r="W6" i="1"/>
  <c r="X6" i="1"/>
  <c r="Y6" i="1"/>
  <c r="Z6" i="1"/>
  <c r="AA6" i="1"/>
  <c r="S7" i="1"/>
  <c r="T7" i="1"/>
  <c r="U7" i="1"/>
  <c r="V7" i="1"/>
  <c r="W7" i="1"/>
  <c r="X7" i="1"/>
  <c r="Y7" i="1"/>
  <c r="Z7" i="1"/>
  <c r="AA7" i="1"/>
  <c r="S8" i="1"/>
  <c r="T8" i="1"/>
  <c r="U8" i="1"/>
  <c r="V8" i="1"/>
  <c r="W8" i="1"/>
  <c r="X8" i="1"/>
  <c r="Y8" i="1"/>
  <c r="Z8" i="1"/>
  <c r="AA8" i="1"/>
  <c r="S9" i="1"/>
  <c r="T9" i="1"/>
  <c r="U9" i="1"/>
  <c r="V9" i="1"/>
  <c r="W9" i="1"/>
  <c r="X9" i="1"/>
  <c r="Y9" i="1"/>
  <c r="Z9" i="1"/>
  <c r="AA9" i="1"/>
  <c r="S10" i="1"/>
  <c r="T10" i="1"/>
  <c r="U10" i="1"/>
  <c r="V10" i="1"/>
  <c r="W10" i="1"/>
  <c r="X10" i="1"/>
  <c r="Y10" i="1"/>
  <c r="Z10" i="1"/>
  <c r="AA10" i="1"/>
  <c r="S11" i="1"/>
  <c r="T11" i="1"/>
  <c r="U11" i="1"/>
  <c r="V11" i="1"/>
  <c r="W11" i="1"/>
  <c r="X11" i="1"/>
  <c r="Y11" i="1"/>
  <c r="Z11" i="1"/>
  <c r="AA11" i="1"/>
  <c r="S12" i="1"/>
  <c r="T12" i="1"/>
  <c r="U12" i="1"/>
  <c r="V12" i="1"/>
  <c r="W12" i="1"/>
  <c r="X12" i="1"/>
  <c r="Y12" i="1"/>
  <c r="Z12" i="1"/>
  <c r="AA12" i="1"/>
  <c r="S13" i="1"/>
  <c r="T13" i="1"/>
  <c r="U13" i="1"/>
  <c r="V13" i="1"/>
  <c r="W13" i="1"/>
  <c r="X13" i="1"/>
  <c r="Y13" i="1"/>
  <c r="Z13" i="1"/>
  <c r="AA13" i="1"/>
  <c r="S14" i="1"/>
  <c r="T14" i="1"/>
  <c r="U14" i="1"/>
  <c r="V14" i="1"/>
  <c r="W14" i="1"/>
  <c r="X14" i="1"/>
  <c r="Y14" i="1"/>
  <c r="Z14" i="1"/>
  <c r="AA14" i="1"/>
  <c r="S16" i="1"/>
  <c r="T16" i="1"/>
  <c r="U16" i="1"/>
  <c r="V16" i="1"/>
  <c r="W16" i="1"/>
  <c r="X16" i="1"/>
  <c r="Y16" i="1"/>
  <c r="Z16" i="1"/>
  <c r="AA16" i="1"/>
  <c r="S17" i="1"/>
  <c r="T17" i="1"/>
  <c r="U17" i="1"/>
  <c r="V17" i="1"/>
  <c r="W17" i="1"/>
  <c r="X17" i="1"/>
  <c r="Y17" i="1"/>
  <c r="Z17" i="1"/>
  <c r="AA17" i="1"/>
  <c r="S18" i="1"/>
  <c r="T18" i="1"/>
  <c r="U18" i="1"/>
  <c r="V18" i="1"/>
  <c r="W18" i="1"/>
  <c r="X18" i="1"/>
  <c r="Y18" i="1"/>
  <c r="Z18" i="1"/>
  <c r="AA18" i="1"/>
  <c r="S19" i="1"/>
  <c r="T19" i="1"/>
  <c r="U19" i="1"/>
  <c r="V19" i="1"/>
  <c r="W19" i="1"/>
  <c r="X19" i="1"/>
  <c r="Y19" i="1"/>
  <c r="Z19" i="1"/>
  <c r="AA19" i="1"/>
  <c r="S20" i="1"/>
  <c r="T20" i="1"/>
  <c r="U20" i="1"/>
  <c r="V20" i="1"/>
  <c r="W20" i="1"/>
  <c r="X20" i="1"/>
  <c r="Y20" i="1"/>
  <c r="Z20" i="1"/>
  <c r="AA20" i="1"/>
  <c r="S23" i="1"/>
  <c r="T23" i="1"/>
  <c r="U23" i="1"/>
  <c r="V23" i="1"/>
  <c r="W23" i="1"/>
  <c r="X23" i="1"/>
  <c r="Y23" i="1"/>
  <c r="Z23" i="1"/>
  <c r="AA23" i="1"/>
  <c r="S24" i="1"/>
  <c r="T24" i="1"/>
  <c r="U24" i="1"/>
  <c r="V24" i="1"/>
  <c r="W24" i="1"/>
  <c r="X24" i="1"/>
  <c r="Y24" i="1"/>
  <c r="Z24" i="1"/>
  <c r="AA24" i="1"/>
  <c r="S27" i="1"/>
  <c r="T27" i="1"/>
  <c r="U27" i="1"/>
  <c r="V27" i="1"/>
  <c r="W27" i="1"/>
  <c r="X27" i="1"/>
  <c r="Y27" i="1"/>
  <c r="Z27" i="1"/>
  <c r="AA27" i="1"/>
  <c r="S28" i="1"/>
  <c r="T28" i="1"/>
  <c r="U28" i="1"/>
  <c r="V28" i="1"/>
  <c r="W28" i="1"/>
  <c r="X28" i="1"/>
  <c r="Y28" i="1"/>
  <c r="Z28" i="1"/>
  <c r="AA28" i="1"/>
  <c r="S29" i="1"/>
  <c r="T29" i="1"/>
  <c r="U29" i="1"/>
  <c r="V29" i="1"/>
  <c r="W29" i="1"/>
  <c r="X29" i="1"/>
  <c r="Y29" i="1"/>
  <c r="Z29" i="1"/>
  <c r="AA29" i="1"/>
  <c r="S30" i="1"/>
  <c r="T30" i="1"/>
  <c r="U30" i="1"/>
  <c r="V30" i="1"/>
  <c r="W30" i="1"/>
  <c r="X30" i="1"/>
  <c r="Y30" i="1"/>
  <c r="Z30" i="1"/>
  <c r="AA30" i="1"/>
  <c r="S31" i="1"/>
  <c r="T31" i="1"/>
  <c r="U31" i="1"/>
  <c r="V31" i="1"/>
  <c r="W31" i="1"/>
  <c r="X31" i="1"/>
  <c r="Y31" i="1"/>
  <c r="Z31" i="1"/>
  <c r="AA31" i="1"/>
  <c r="S32" i="1"/>
  <c r="T32" i="1"/>
  <c r="U32" i="1"/>
  <c r="V32" i="1"/>
  <c r="W32" i="1"/>
  <c r="X32" i="1"/>
  <c r="Y32" i="1"/>
  <c r="Z32" i="1"/>
  <c r="AA32" i="1"/>
  <c r="S33" i="1"/>
  <c r="T33" i="1"/>
  <c r="U33" i="1"/>
  <c r="V33" i="1"/>
  <c r="W33" i="1"/>
  <c r="X33" i="1"/>
  <c r="Y33" i="1"/>
  <c r="Z33" i="1"/>
  <c r="AA33" i="1"/>
  <c r="R6" i="1"/>
  <c r="R7" i="1"/>
  <c r="R8" i="1"/>
  <c r="R9" i="1"/>
  <c r="R10" i="1"/>
  <c r="R11" i="1"/>
  <c r="R12" i="1"/>
  <c r="R13" i="1"/>
  <c r="R14" i="1"/>
  <c r="R16" i="1"/>
  <c r="R17" i="1"/>
  <c r="R18" i="1"/>
  <c r="R19" i="1"/>
  <c r="R20" i="1"/>
  <c r="R23" i="1"/>
  <c r="R24" i="1"/>
  <c r="R27" i="1"/>
  <c r="R28" i="1"/>
  <c r="R29" i="1"/>
  <c r="R30" i="1"/>
  <c r="R31" i="1"/>
  <c r="R32" i="1"/>
  <c r="R33" i="1"/>
  <c r="R5" i="1"/>
  <c r="K107" i="2"/>
  <c r="K109" i="2" s="1"/>
  <c r="J107" i="2"/>
  <c r="J109" i="2" s="1"/>
  <c r="I107" i="2"/>
  <c r="I109" i="2"/>
  <c r="Q109" i="2"/>
  <c r="H107" i="2"/>
  <c r="H109" i="2" s="1"/>
  <c r="E28" i="9"/>
  <c r="K61" i="5"/>
  <c r="J61" i="5"/>
  <c r="M59" i="5"/>
  <c r="L59" i="5"/>
  <c r="K59" i="5"/>
  <c r="J59" i="5"/>
  <c r="I59" i="5"/>
  <c r="I11" i="11"/>
  <c r="I12" i="11" s="1"/>
  <c r="I13" i="11" s="1"/>
  <c r="I14" i="11" s="1"/>
  <c r="I15" i="11" s="1"/>
  <c r="I16" i="11" s="1"/>
  <c r="I17" i="11" s="1"/>
  <c r="I18" i="11" s="1"/>
  <c r="I19" i="11" s="1"/>
  <c r="I20" i="11" s="1"/>
  <c r="I21" i="11" s="1"/>
  <c r="I22" i="11" s="1"/>
  <c r="I23" i="11" s="1"/>
  <c r="I24" i="11" s="1"/>
  <c r="I25" i="11" s="1"/>
  <c r="I26" i="11" s="1"/>
  <c r="I27" i="11" s="1"/>
  <c r="I28" i="11" s="1"/>
  <c r="I29" i="11" s="1"/>
  <c r="I30" i="11" s="1"/>
  <c r="I31" i="11" s="1"/>
  <c r="I32" i="11" s="1"/>
  <c r="I33" i="11" s="1"/>
  <c r="I34" i="11" s="1"/>
  <c r="I35" i="11" s="1"/>
  <c r="I36" i="11" s="1"/>
  <c r="I37" i="11" s="1"/>
  <c r="I38" i="11" s="1"/>
  <c r="I39" i="11" s="1"/>
  <c r="I40" i="11" s="1"/>
  <c r="I41" i="11" s="1"/>
  <c r="I42" i="11" s="1"/>
  <c r="I43" i="11" s="1"/>
  <c r="I44" i="11" s="1"/>
  <c r="I45" i="11" s="1"/>
  <c r="I46" i="11" s="1"/>
  <c r="I47" i="11" s="1"/>
  <c r="I48" i="11" s="1"/>
  <c r="I49" i="11" s="1"/>
  <c r="I50" i="11" s="1"/>
  <c r="I51" i="11" s="1"/>
  <c r="I52" i="11" s="1"/>
  <c r="I53" i="11" s="1"/>
  <c r="I54" i="11" s="1"/>
  <c r="I55" i="11" s="1"/>
  <c r="I56" i="11" s="1"/>
  <c r="I57" i="11" s="1"/>
  <c r="I58" i="11" s="1"/>
  <c r="I59" i="11" s="1"/>
  <c r="I60" i="11" s="1"/>
  <c r="I61" i="11" s="1"/>
  <c r="I62" i="11" s="1"/>
  <c r="I63" i="11" s="1"/>
  <c r="I64" i="11" s="1"/>
  <c r="I65" i="11" s="1"/>
  <c r="I66" i="11" s="1"/>
  <c r="I67" i="11" s="1"/>
  <c r="I68" i="11" s="1"/>
  <c r="I69" i="11" s="1"/>
  <c r="I70" i="11" s="1"/>
  <c r="I71" i="11" s="1"/>
  <c r="I72" i="11" s="1"/>
  <c r="I73" i="11" s="1"/>
  <c r="I74" i="11" s="1"/>
  <c r="I75" i="11" s="1"/>
  <c r="I76" i="11" s="1"/>
  <c r="I77" i="11" s="1"/>
  <c r="I78" i="11" s="1"/>
  <c r="I79" i="11" s="1"/>
  <c r="I80" i="11" s="1"/>
  <c r="I81" i="11" s="1"/>
  <c r="I82" i="11" s="1"/>
  <c r="I83" i="11" s="1"/>
  <c r="I84" i="11" s="1"/>
  <c r="I85" i="11" s="1"/>
  <c r="I86" i="11" s="1"/>
  <c r="I87" i="11" s="1"/>
  <c r="I88" i="11" s="1"/>
  <c r="I89" i="11" s="1"/>
  <c r="I90" i="11" s="1"/>
  <c r="I91" i="11" s="1"/>
  <c r="I92" i="11" s="1"/>
  <c r="I93" i="11" s="1"/>
  <c r="I94" i="11" s="1"/>
  <c r="I95" i="11" s="1"/>
  <c r="I96" i="11" s="1"/>
  <c r="I97" i="11" s="1"/>
  <c r="I98" i="11" s="1"/>
  <c r="I99" i="11" s="1"/>
  <c r="I100" i="11" s="1"/>
  <c r="I101" i="11" s="1"/>
  <c r="I102" i="11" s="1"/>
  <c r="I103" i="11" s="1"/>
  <c r="I104" i="11" s="1"/>
  <c r="I105" i="11" s="1"/>
  <c r="I106" i="11" s="1"/>
  <c r="I107" i="11" s="1"/>
  <c r="I108" i="11" s="1"/>
  <c r="I109" i="11" s="1"/>
  <c r="I110" i="11" s="1"/>
  <c r="I111" i="11" s="1"/>
  <c r="I112" i="11" s="1"/>
  <c r="I113" i="11" s="1"/>
  <c r="I114" i="11" s="1"/>
  <c r="I115" i="11" s="1"/>
  <c r="I116" i="11" s="1"/>
  <c r="I117" i="11" s="1"/>
  <c r="I118" i="11" s="1"/>
  <c r="I119" i="11" s="1"/>
  <c r="I120" i="11" s="1"/>
  <c r="I121" i="11" s="1"/>
  <c r="I122" i="11" s="1"/>
  <c r="I123" i="11" s="1"/>
  <c r="I124" i="11" s="1"/>
  <c r="I125" i="11" s="1"/>
  <c r="I126" i="11" s="1"/>
  <c r="I127" i="11" s="1"/>
  <c r="I128" i="11" s="1"/>
  <c r="I129" i="11" s="1"/>
  <c r="I130" i="11" s="1"/>
  <c r="I131" i="11" s="1"/>
  <c r="I132" i="11" s="1"/>
  <c r="I133" i="11" s="1"/>
  <c r="I134" i="11" s="1"/>
  <c r="I135" i="11" s="1"/>
  <c r="I136" i="11" s="1"/>
  <c r="I137" i="11" s="1"/>
  <c r="I138" i="11" s="1"/>
  <c r="I139" i="11" s="1"/>
  <c r="I140" i="11" s="1"/>
  <c r="I141" i="11" s="1"/>
  <c r="I142" i="11" s="1"/>
  <c r="I143" i="11" s="1"/>
  <c r="I144" i="11" s="1"/>
  <c r="I145" i="11" s="1"/>
  <c r="I146" i="11" s="1"/>
  <c r="I147" i="11" s="1"/>
  <c r="I148" i="11" s="1"/>
  <c r="I149" i="11" s="1"/>
  <c r="I150" i="11" s="1"/>
  <c r="I151" i="11" s="1"/>
  <c r="I152" i="11" s="1"/>
  <c r="I153" i="11" s="1"/>
  <c r="I154" i="11" s="1"/>
  <c r="I155" i="11" s="1"/>
  <c r="I156" i="11" s="1"/>
  <c r="I157" i="11" s="1"/>
  <c r="I158" i="11" s="1"/>
  <c r="I159" i="11" s="1"/>
  <c r="I160" i="11" s="1"/>
  <c r="I161" i="11" s="1"/>
  <c r="I162" i="11" s="1"/>
  <c r="I163" i="11" s="1"/>
  <c r="I164" i="11" s="1"/>
  <c r="I165" i="11" s="1"/>
  <c r="I166" i="11" s="1"/>
  <c r="I167" i="11" s="1"/>
  <c r="I168" i="11" s="1"/>
  <c r="I169" i="11" s="1"/>
  <c r="I170" i="11" s="1"/>
  <c r="I171" i="11" s="1"/>
  <c r="I172" i="11" s="1"/>
  <c r="I173" i="11" s="1"/>
  <c r="I174" i="11" s="1"/>
  <c r="I175" i="11" s="1"/>
  <c r="I176" i="11" s="1"/>
  <c r="I177" i="11" s="1"/>
  <c r="I178" i="11" s="1"/>
  <c r="I179" i="11" s="1"/>
  <c r="I180" i="11" s="1"/>
  <c r="I181" i="11" s="1"/>
  <c r="I182" i="11" s="1"/>
  <c r="I183" i="11" s="1"/>
  <c r="I184" i="11" s="1"/>
  <c r="I185" i="11" s="1"/>
  <c r="I186" i="11" s="1"/>
  <c r="I187" i="11" s="1"/>
  <c r="I188" i="11" s="1"/>
  <c r="I189" i="11" s="1"/>
  <c r="I190" i="11" s="1"/>
  <c r="I191" i="11" s="1"/>
  <c r="I192" i="11" s="1"/>
  <c r="I193" i="11" s="1"/>
  <c r="I194" i="11" s="1"/>
  <c r="I195" i="11" s="1"/>
  <c r="I196" i="11" s="1"/>
  <c r="I197" i="11" s="1"/>
  <c r="I198" i="11" s="1"/>
  <c r="I199" i="11" s="1"/>
  <c r="I200" i="11" s="1"/>
  <c r="I201" i="11" s="1"/>
  <c r="I202" i="11" s="1"/>
  <c r="I203" i="11" s="1"/>
  <c r="I204" i="11" s="1"/>
  <c r="I205" i="11" s="1"/>
  <c r="I206" i="11" s="1"/>
  <c r="I207" i="11" s="1"/>
  <c r="I208" i="11" s="1"/>
  <c r="I209" i="11" s="1"/>
  <c r="I210" i="11" s="1"/>
  <c r="I211" i="11" s="1"/>
  <c r="I212" i="11" s="1"/>
  <c r="I213" i="11" s="1"/>
  <c r="I214" i="11" s="1"/>
  <c r="I215" i="11" s="1"/>
  <c r="I216" i="11" s="1"/>
  <c r="I217" i="11" s="1"/>
  <c r="I218" i="11" s="1"/>
  <c r="I219" i="11" s="1"/>
  <c r="I220" i="11" s="1"/>
  <c r="I221" i="11" s="1"/>
  <c r="I222" i="11" s="1"/>
  <c r="I223" i="11" s="1"/>
  <c r="I224" i="11" s="1"/>
  <c r="I225" i="11" s="1"/>
  <c r="I226" i="11" s="1"/>
  <c r="I227" i="11" s="1"/>
  <c r="I228" i="11" s="1"/>
  <c r="I229" i="11" s="1"/>
  <c r="I230" i="11" s="1"/>
  <c r="I231" i="11" s="1"/>
  <c r="I232" i="11" s="1"/>
  <c r="I233" i="11" s="1"/>
  <c r="I234" i="11" s="1"/>
  <c r="I235" i="11" s="1"/>
  <c r="I236" i="11" s="1"/>
  <c r="I237" i="11" s="1"/>
  <c r="I238" i="11" s="1"/>
  <c r="I239" i="11" s="1"/>
  <c r="I240" i="11" s="1"/>
  <c r="I241" i="11" s="1"/>
  <c r="I242" i="11" s="1"/>
  <c r="I243" i="11" s="1"/>
  <c r="I244" i="11" s="1"/>
  <c r="I245" i="11" s="1"/>
  <c r="I246" i="11" s="1"/>
  <c r="I247" i="11" s="1"/>
  <c r="I248" i="11" s="1"/>
  <c r="I249" i="11" s="1"/>
  <c r="I250" i="11" s="1"/>
  <c r="I251" i="11" s="1"/>
  <c r="I252" i="11" s="1"/>
  <c r="I253" i="11" s="1"/>
  <c r="I254" i="11" s="1"/>
  <c r="I255" i="11" s="1"/>
  <c r="I256" i="11" s="1"/>
  <c r="I257" i="11" s="1"/>
  <c r="I258" i="11" s="1"/>
  <c r="I259" i="11" s="1"/>
  <c r="I260" i="11" s="1"/>
  <c r="I261" i="11" s="1"/>
  <c r="I262" i="11" s="1"/>
  <c r="I263" i="11" s="1"/>
  <c r="I264" i="11" s="1"/>
  <c r="I265" i="11" s="1"/>
  <c r="I266" i="11" s="1"/>
  <c r="I267" i="11" s="1"/>
  <c r="I268" i="11" s="1"/>
  <c r="I269" i="11" s="1"/>
  <c r="I270" i="11" s="1"/>
  <c r="I271" i="11" s="1"/>
  <c r="I272" i="11" s="1"/>
  <c r="I273" i="11" s="1"/>
  <c r="I274" i="11" s="1"/>
  <c r="I275" i="11" s="1"/>
  <c r="I276" i="11" s="1"/>
  <c r="I277" i="11" s="1"/>
  <c r="I278" i="11" s="1"/>
  <c r="I279" i="11" s="1"/>
  <c r="I280" i="11" s="1"/>
  <c r="I281" i="11" s="1"/>
  <c r="I282" i="11" s="1"/>
  <c r="I283" i="11" s="1"/>
  <c r="I284" i="11" s="1"/>
  <c r="I285" i="11" s="1"/>
  <c r="I286" i="11" s="1"/>
  <c r="I287" i="11" s="1"/>
  <c r="I288" i="11" s="1"/>
  <c r="I289" i="11" s="1"/>
  <c r="I290" i="11" s="1"/>
  <c r="I291" i="11" s="1"/>
  <c r="I292" i="11" s="1"/>
  <c r="I293" i="11" s="1"/>
  <c r="I294" i="11" s="1"/>
  <c r="I295" i="11" s="1"/>
  <c r="I296" i="11" s="1"/>
  <c r="I297" i="11" s="1"/>
  <c r="I298" i="11" s="1"/>
  <c r="I299" i="11" s="1"/>
  <c r="I300" i="11" s="1"/>
  <c r="I301" i="11" s="1"/>
  <c r="I302" i="11" s="1"/>
  <c r="I303" i="11" s="1"/>
  <c r="I304" i="11" s="1"/>
  <c r="I305" i="11" s="1"/>
  <c r="I306" i="11" s="1"/>
  <c r="I307" i="11" s="1"/>
  <c r="I308" i="11" s="1"/>
  <c r="I309" i="11" s="1"/>
  <c r="I310" i="11" s="1"/>
  <c r="I311" i="11" s="1"/>
  <c r="I312" i="11" s="1"/>
  <c r="I313" i="11" s="1"/>
  <c r="I314" i="11" s="1"/>
  <c r="I315" i="11" s="1"/>
  <c r="I316" i="11" s="1"/>
  <c r="I317" i="11" s="1"/>
  <c r="I318" i="11" s="1"/>
  <c r="I319" i="11" s="1"/>
  <c r="I320" i="11" s="1"/>
  <c r="I321" i="11" s="1"/>
  <c r="I322" i="11" s="1"/>
  <c r="I323" i="11" s="1"/>
  <c r="I324" i="11" s="1"/>
  <c r="I325" i="11" s="1"/>
  <c r="I326" i="11" s="1"/>
  <c r="I327" i="11" s="1"/>
  <c r="I328" i="11" s="1"/>
  <c r="I329" i="11" s="1"/>
  <c r="I330" i="11" s="1"/>
  <c r="I331" i="11" s="1"/>
  <c r="I332" i="11" s="1"/>
  <c r="I333" i="11" s="1"/>
  <c r="I334" i="11" s="1"/>
  <c r="I335" i="11" s="1"/>
  <c r="I336" i="11" s="1"/>
  <c r="I337" i="11" s="1"/>
  <c r="I338" i="11" s="1"/>
  <c r="I339" i="11" s="1"/>
  <c r="I340" i="11" s="1"/>
  <c r="I341" i="11" s="1"/>
  <c r="I342" i="11" s="1"/>
  <c r="I343" i="11" s="1"/>
  <c r="I344" i="11" s="1"/>
  <c r="I345" i="11" s="1"/>
  <c r="I346" i="11" s="1"/>
  <c r="I347" i="11" s="1"/>
  <c r="I348" i="11" s="1"/>
  <c r="I349" i="11" s="1"/>
  <c r="I350" i="11" s="1"/>
  <c r="I351" i="11" s="1"/>
  <c r="I352" i="11" s="1"/>
  <c r="I353" i="11" s="1"/>
  <c r="I354" i="11" s="1"/>
  <c r="I355" i="11" s="1"/>
  <c r="I356" i="11" s="1"/>
  <c r="I357" i="11" s="1"/>
  <c r="I358" i="11" s="1"/>
  <c r="I359" i="11" s="1"/>
  <c r="I360" i="11" s="1"/>
  <c r="I361" i="11" s="1"/>
  <c r="I362" i="11" s="1"/>
  <c r="I363" i="11" s="1"/>
  <c r="I364" i="11" s="1"/>
  <c r="I365" i="11" s="1"/>
  <c r="I366" i="11" s="1"/>
  <c r="I367" i="11" s="1"/>
  <c r="I368" i="11" s="1"/>
  <c r="I369" i="11" s="1"/>
  <c r="I370" i="11" s="1"/>
  <c r="I371" i="11" s="1"/>
  <c r="I372" i="11" s="1"/>
  <c r="I373" i="11" s="1"/>
  <c r="I374" i="11" s="1"/>
  <c r="I375" i="11" s="1"/>
  <c r="I376" i="11" s="1"/>
  <c r="I377" i="11" s="1"/>
  <c r="I378" i="11" s="1"/>
  <c r="I379" i="11" s="1"/>
  <c r="I380" i="11" s="1"/>
  <c r="I381" i="11" s="1"/>
  <c r="I382" i="11" s="1"/>
  <c r="I383" i="11" s="1"/>
  <c r="I384" i="11" s="1"/>
  <c r="I385" i="11" s="1"/>
  <c r="I386" i="11" s="1"/>
  <c r="I387" i="11" s="1"/>
  <c r="I388" i="11" s="1"/>
  <c r="I389" i="11" s="1"/>
  <c r="I390" i="11" s="1"/>
  <c r="I391" i="11" s="1"/>
  <c r="I392" i="11" s="1"/>
  <c r="I393" i="11" s="1"/>
  <c r="I394" i="11" s="1"/>
  <c r="I395" i="11" s="1"/>
  <c r="I396" i="11" s="1"/>
  <c r="I397" i="11" s="1"/>
  <c r="I398" i="11" s="1"/>
  <c r="I399" i="11" s="1"/>
  <c r="I400" i="11" s="1"/>
  <c r="I401" i="11" s="1"/>
  <c r="I402" i="11" s="1"/>
  <c r="I403" i="11" s="1"/>
  <c r="I404" i="11" s="1"/>
  <c r="I405" i="11" s="1"/>
  <c r="I406" i="11" s="1"/>
  <c r="I407" i="11" s="1"/>
  <c r="I408" i="11" s="1"/>
  <c r="I409" i="11" s="1"/>
  <c r="I410" i="11" s="1"/>
  <c r="I411" i="11" s="1"/>
  <c r="I412" i="11" s="1"/>
  <c r="I413" i="11" s="1"/>
  <c r="I414" i="11" s="1"/>
  <c r="I415" i="11" s="1"/>
  <c r="I416" i="11" s="1"/>
  <c r="I417" i="11" s="1"/>
  <c r="I418" i="11" s="1"/>
  <c r="I419" i="11" s="1"/>
  <c r="I420" i="11" s="1"/>
  <c r="I421" i="11" s="1"/>
  <c r="I422" i="11" s="1"/>
  <c r="I423" i="11" s="1"/>
  <c r="I424" i="11" s="1"/>
  <c r="I425" i="11" s="1"/>
  <c r="I426" i="11" s="1"/>
  <c r="I427" i="11" s="1"/>
  <c r="I428" i="11" s="1"/>
  <c r="I429" i="11" s="1"/>
  <c r="I430" i="11" s="1"/>
  <c r="I431" i="11" s="1"/>
  <c r="I432" i="11" s="1"/>
  <c r="I433" i="11" s="1"/>
  <c r="I434" i="11" s="1"/>
  <c r="I435" i="11" s="1"/>
  <c r="I436" i="11" s="1"/>
  <c r="I437" i="11" s="1"/>
  <c r="I438" i="11" s="1"/>
  <c r="I439" i="11" s="1"/>
  <c r="I440" i="11" s="1"/>
  <c r="I441" i="11" s="1"/>
  <c r="I442" i="11" s="1"/>
  <c r="I443" i="11" s="1"/>
  <c r="I444" i="11" s="1"/>
  <c r="I445" i="11" s="1"/>
  <c r="I446" i="11" s="1"/>
  <c r="I447" i="11" s="1"/>
  <c r="I448" i="11" s="1"/>
  <c r="I449" i="11" s="1"/>
  <c r="I450" i="11" s="1"/>
  <c r="I451" i="11" s="1"/>
  <c r="I452" i="11" s="1"/>
  <c r="I453" i="11" s="1"/>
  <c r="I454" i="11" s="1"/>
  <c r="I455" i="11" s="1"/>
  <c r="I456" i="11" s="1"/>
  <c r="I457" i="11" s="1"/>
  <c r="I458" i="11" s="1"/>
  <c r="I459" i="11" s="1"/>
  <c r="I460" i="11" s="1"/>
  <c r="I461" i="11" s="1"/>
  <c r="I462" i="11" s="1"/>
  <c r="I463" i="11" s="1"/>
  <c r="I464" i="11" s="1"/>
  <c r="I465" i="11" s="1"/>
  <c r="I466" i="11" s="1"/>
  <c r="I467" i="11" s="1"/>
  <c r="I468" i="11" s="1"/>
  <c r="I469" i="11" s="1"/>
  <c r="I470" i="11" s="1"/>
  <c r="I471" i="11" s="1"/>
  <c r="I472" i="11" s="1"/>
  <c r="I473" i="11" s="1"/>
  <c r="I474" i="11" s="1"/>
  <c r="I475" i="11" s="1"/>
  <c r="I476" i="11" s="1"/>
  <c r="I477" i="11" s="1"/>
  <c r="I478" i="11" s="1"/>
  <c r="I479" i="11" s="1"/>
  <c r="I480" i="11" s="1"/>
  <c r="I481" i="11" s="1"/>
  <c r="I482" i="11" s="1"/>
  <c r="I483" i="11" s="1"/>
  <c r="I484" i="11" s="1"/>
  <c r="I485" i="11" s="1"/>
  <c r="I486" i="11" s="1"/>
  <c r="I487" i="11" s="1"/>
  <c r="I488" i="11" s="1"/>
  <c r="I489" i="11" s="1"/>
  <c r="C11" i="11"/>
  <c r="D11" i="11" s="1"/>
  <c r="B11" i="1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B37" i="11" s="1"/>
  <c r="B38" i="11" s="1"/>
  <c r="B39" i="11" s="1"/>
  <c r="B40" i="11" s="1"/>
  <c r="B41" i="11" s="1"/>
  <c r="B42" i="11" s="1"/>
  <c r="B43" i="11" s="1"/>
  <c r="B44" i="11" s="1"/>
  <c r="B45" i="11" s="1"/>
  <c r="B46" i="11" s="1"/>
  <c r="B47" i="11" s="1"/>
  <c r="B48" i="11" s="1"/>
  <c r="B49" i="11" s="1"/>
  <c r="B50" i="11" s="1"/>
  <c r="B51" i="11" s="1"/>
  <c r="B52" i="11" s="1"/>
  <c r="B53" i="11" s="1"/>
  <c r="B54" i="11" s="1"/>
  <c r="B55" i="11" s="1"/>
  <c r="B56" i="11" s="1"/>
  <c r="B57" i="11" s="1"/>
  <c r="B58" i="11" s="1"/>
  <c r="B59" i="11" s="1"/>
  <c r="B60" i="11" s="1"/>
  <c r="B61" i="11" s="1"/>
  <c r="B62" i="11" s="1"/>
  <c r="B63" i="11" s="1"/>
  <c r="B64" i="11" s="1"/>
  <c r="B65" i="11" s="1"/>
  <c r="B66" i="11" s="1"/>
  <c r="B67" i="11" s="1"/>
  <c r="B68" i="11" s="1"/>
  <c r="B69" i="11" s="1"/>
  <c r="B70" i="11" s="1"/>
  <c r="B71" i="11" s="1"/>
  <c r="B72" i="11" s="1"/>
  <c r="B73" i="11" s="1"/>
  <c r="B74" i="11" s="1"/>
  <c r="B75" i="11" s="1"/>
  <c r="B76" i="11" s="1"/>
  <c r="B77" i="11" s="1"/>
  <c r="B78" i="11" s="1"/>
  <c r="B79" i="11" s="1"/>
  <c r="B80" i="11" s="1"/>
  <c r="B81" i="11" s="1"/>
  <c r="B82" i="11" s="1"/>
  <c r="B83" i="11" s="1"/>
  <c r="B84" i="11" s="1"/>
  <c r="B85" i="11" s="1"/>
  <c r="B86" i="11" s="1"/>
  <c r="B87" i="11" s="1"/>
  <c r="B88" i="11" s="1"/>
  <c r="B89" i="11" s="1"/>
  <c r="B90" i="11" s="1"/>
  <c r="B91" i="11" s="1"/>
  <c r="B92" i="11" s="1"/>
  <c r="B93" i="11" s="1"/>
  <c r="B94" i="11" s="1"/>
  <c r="B95" i="11" s="1"/>
  <c r="B96" i="11" s="1"/>
  <c r="B97" i="11" s="1"/>
  <c r="B98" i="11" s="1"/>
  <c r="B99" i="11" s="1"/>
  <c r="B100" i="11" s="1"/>
  <c r="B101" i="11" s="1"/>
  <c r="B102" i="11" s="1"/>
  <c r="B103" i="11" s="1"/>
  <c r="B104" i="11" s="1"/>
  <c r="B105" i="11" s="1"/>
  <c r="B106" i="11" s="1"/>
  <c r="B107" i="11" s="1"/>
  <c r="B108" i="11" s="1"/>
  <c r="B109" i="11" s="1"/>
  <c r="B110" i="11" s="1"/>
  <c r="B111" i="11" s="1"/>
  <c r="B112" i="11" s="1"/>
  <c r="B113" i="11" s="1"/>
  <c r="B114" i="11" s="1"/>
  <c r="B115" i="11" s="1"/>
  <c r="B116" i="11" s="1"/>
  <c r="B117" i="11" s="1"/>
  <c r="B118" i="11" s="1"/>
  <c r="B119" i="11" s="1"/>
  <c r="B120" i="11" s="1"/>
  <c r="B121" i="11" s="1"/>
  <c r="B122" i="11" s="1"/>
  <c r="B123" i="11" s="1"/>
  <c r="B124" i="11" s="1"/>
  <c r="B125" i="11" s="1"/>
  <c r="B126" i="11" s="1"/>
  <c r="B127" i="11" s="1"/>
  <c r="B128" i="11" s="1"/>
  <c r="B129" i="11" s="1"/>
  <c r="B130" i="11" s="1"/>
  <c r="B131" i="11" s="1"/>
  <c r="B132" i="11" s="1"/>
  <c r="B133" i="11" s="1"/>
  <c r="B134" i="11" s="1"/>
  <c r="B135" i="11" s="1"/>
  <c r="B136" i="11" s="1"/>
  <c r="B137" i="11" s="1"/>
  <c r="B138" i="11" s="1"/>
  <c r="B139" i="11" s="1"/>
  <c r="B140" i="11" s="1"/>
  <c r="B141" i="11" s="1"/>
  <c r="B142" i="11" s="1"/>
  <c r="B143" i="11" s="1"/>
  <c r="B144" i="11" s="1"/>
  <c r="B145" i="11" s="1"/>
  <c r="B146" i="11" s="1"/>
  <c r="B147" i="11" s="1"/>
  <c r="B148" i="11" s="1"/>
  <c r="B149" i="11" s="1"/>
  <c r="B150" i="11" s="1"/>
  <c r="B151" i="11" s="1"/>
  <c r="B152" i="11" s="1"/>
  <c r="B153" i="11" s="1"/>
  <c r="B154" i="11" s="1"/>
  <c r="B155" i="11" s="1"/>
  <c r="B156" i="11" s="1"/>
  <c r="B157" i="11" s="1"/>
  <c r="B158" i="11" s="1"/>
  <c r="B159" i="11" s="1"/>
  <c r="B160" i="11" s="1"/>
  <c r="B161" i="11" s="1"/>
  <c r="B162" i="11" s="1"/>
  <c r="B163" i="11" s="1"/>
  <c r="B164" i="11" s="1"/>
  <c r="B165" i="11" s="1"/>
  <c r="B166" i="11" s="1"/>
  <c r="B167" i="11" s="1"/>
  <c r="B168" i="11" s="1"/>
  <c r="B169" i="11" s="1"/>
  <c r="B170" i="11" s="1"/>
  <c r="B171" i="11" s="1"/>
  <c r="B172" i="11" s="1"/>
  <c r="B173" i="11" s="1"/>
  <c r="B174" i="11" s="1"/>
  <c r="B175" i="11" s="1"/>
  <c r="B176" i="11" s="1"/>
  <c r="B177" i="11" s="1"/>
  <c r="B178" i="11" s="1"/>
  <c r="B179" i="11" s="1"/>
  <c r="B180" i="11" s="1"/>
  <c r="B181" i="11" s="1"/>
  <c r="B182" i="11" s="1"/>
  <c r="B183" i="11" s="1"/>
  <c r="B184" i="11" s="1"/>
  <c r="B185" i="11" s="1"/>
  <c r="B186" i="11" s="1"/>
  <c r="B187" i="11" s="1"/>
  <c r="B188" i="11" s="1"/>
  <c r="B189" i="11" s="1"/>
  <c r="B190" i="11" s="1"/>
  <c r="B191" i="11" s="1"/>
  <c r="B192" i="11" s="1"/>
  <c r="B193" i="11" s="1"/>
  <c r="B194" i="11" s="1"/>
  <c r="B195" i="11" s="1"/>
  <c r="B196" i="11" s="1"/>
  <c r="B197" i="11" s="1"/>
  <c r="B198" i="11" s="1"/>
  <c r="B199" i="11" s="1"/>
  <c r="B200" i="11" s="1"/>
  <c r="B201" i="11" s="1"/>
  <c r="B202" i="11" s="1"/>
  <c r="B203" i="11" s="1"/>
  <c r="B204" i="11" s="1"/>
  <c r="B205" i="11" s="1"/>
  <c r="B206" i="11" s="1"/>
  <c r="B207" i="11" s="1"/>
  <c r="B208" i="11" s="1"/>
  <c r="B209" i="11" s="1"/>
  <c r="B210" i="11" s="1"/>
  <c r="B211" i="11" s="1"/>
  <c r="B212" i="11" s="1"/>
  <c r="B213" i="11" s="1"/>
  <c r="B214" i="11" s="1"/>
  <c r="B215" i="11" s="1"/>
  <c r="B216" i="11" s="1"/>
  <c r="B217" i="11" s="1"/>
  <c r="B218" i="11" s="1"/>
  <c r="B219" i="11" s="1"/>
  <c r="B220" i="11" s="1"/>
  <c r="B221" i="11" s="1"/>
  <c r="B222" i="11" s="1"/>
  <c r="B223" i="11" s="1"/>
  <c r="B224" i="11" s="1"/>
  <c r="B225" i="11" s="1"/>
  <c r="B226" i="11" s="1"/>
  <c r="B227" i="11" s="1"/>
  <c r="B228" i="11" s="1"/>
  <c r="B229" i="11" s="1"/>
  <c r="B230" i="11" s="1"/>
  <c r="B231" i="11" s="1"/>
  <c r="B232" i="11" s="1"/>
  <c r="B233" i="11" s="1"/>
  <c r="B234" i="11" s="1"/>
  <c r="B235" i="11" s="1"/>
  <c r="B236" i="11" s="1"/>
  <c r="B237" i="11" s="1"/>
  <c r="B238" i="11" s="1"/>
  <c r="B239" i="11" s="1"/>
  <c r="B240" i="11" s="1"/>
  <c r="B241" i="11" s="1"/>
  <c r="B242" i="11" s="1"/>
  <c r="B243" i="11" s="1"/>
  <c r="B244" i="11" s="1"/>
  <c r="B245" i="11" s="1"/>
  <c r="B246" i="11" s="1"/>
  <c r="B247" i="11" s="1"/>
  <c r="B248" i="11" s="1"/>
  <c r="B249" i="11" s="1"/>
  <c r="B250" i="11" s="1"/>
  <c r="B251" i="11" s="1"/>
  <c r="B252" i="11" s="1"/>
  <c r="B253" i="11" s="1"/>
  <c r="B254" i="11" s="1"/>
  <c r="B255" i="11" s="1"/>
  <c r="B256" i="11" s="1"/>
  <c r="B257" i="11" s="1"/>
  <c r="B258" i="11" s="1"/>
  <c r="B259" i="11" s="1"/>
  <c r="B260" i="11" s="1"/>
  <c r="B261" i="11" s="1"/>
  <c r="B262" i="11" s="1"/>
  <c r="B263" i="11" s="1"/>
  <c r="B264" i="11" s="1"/>
  <c r="B265" i="11" s="1"/>
  <c r="B266" i="11" s="1"/>
  <c r="B267" i="11" s="1"/>
  <c r="B268" i="11" s="1"/>
  <c r="B269" i="11" s="1"/>
  <c r="B270" i="11" s="1"/>
  <c r="B271" i="11" s="1"/>
  <c r="B272" i="11" s="1"/>
  <c r="B273" i="11" s="1"/>
  <c r="B274" i="11" s="1"/>
  <c r="B275" i="11" s="1"/>
  <c r="B276" i="11" s="1"/>
  <c r="B277" i="11" s="1"/>
  <c r="B278" i="11" s="1"/>
  <c r="B279" i="11" s="1"/>
  <c r="B280" i="11" s="1"/>
  <c r="B281" i="11" s="1"/>
  <c r="B282" i="11" s="1"/>
  <c r="B283" i="11" s="1"/>
  <c r="B284" i="11" s="1"/>
  <c r="B285" i="11" s="1"/>
  <c r="B286" i="11" s="1"/>
  <c r="B287" i="11" s="1"/>
  <c r="B288" i="11" s="1"/>
  <c r="B289" i="11" s="1"/>
  <c r="B290" i="11" s="1"/>
  <c r="B291" i="11" s="1"/>
  <c r="B292" i="11" s="1"/>
  <c r="B293" i="11" s="1"/>
  <c r="B294" i="11" s="1"/>
  <c r="B295" i="11" s="1"/>
  <c r="B296" i="11" s="1"/>
  <c r="B297" i="11" s="1"/>
  <c r="B298" i="11" s="1"/>
  <c r="B299" i="11" s="1"/>
  <c r="B300" i="11" s="1"/>
  <c r="B301" i="11" s="1"/>
  <c r="B302" i="11" s="1"/>
  <c r="B303" i="11" s="1"/>
  <c r="B304" i="11" s="1"/>
  <c r="B305" i="11" s="1"/>
  <c r="B306" i="11" s="1"/>
  <c r="B307" i="11" s="1"/>
  <c r="B308" i="11" s="1"/>
  <c r="B309" i="11" s="1"/>
  <c r="B310" i="11" s="1"/>
  <c r="B311" i="11" s="1"/>
  <c r="B312" i="11" s="1"/>
  <c r="B313" i="11" s="1"/>
  <c r="B314" i="11" s="1"/>
  <c r="B315" i="11" s="1"/>
  <c r="B316" i="11" s="1"/>
  <c r="B317" i="11" s="1"/>
  <c r="B318" i="11" s="1"/>
  <c r="B319" i="11" s="1"/>
  <c r="B320" i="11" s="1"/>
  <c r="B321" i="11" s="1"/>
  <c r="B322" i="11" s="1"/>
  <c r="B323" i="11" s="1"/>
  <c r="B324" i="11" s="1"/>
  <c r="B325" i="11" s="1"/>
  <c r="B326" i="11" s="1"/>
  <c r="B327" i="11" s="1"/>
  <c r="B328" i="11" s="1"/>
  <c r="B329" i="11" s="1"/>
  <c r="B330" i="11" s="1"/>
  <c r="B331" i="11" s="1"/>
  <c r="B332" i="11" s="1"/>
  <c r="B333" i="11" s="1"/>
  <c r="B334" i="11" s="1"/>
  <c r="B335" i="11" s="1"/>
  <c r="B336" i="11" s="1"/>
  <c r="B337" i="11" s="1"/>
  <c r="B338" i="11" s="1"/>
  <c r="B339" i="11" s="1"/>
  <c r="B340" i="11" s="1"/>
  <c r="B341" i="11" s="1"/>
  <c r="B342" i="11" s="1"/>
  <c r="B343" i="11" s="1"/>
  <c r="B344" i="11" s="1"/>
  <c r="B345" i="11" s="1"/>
  <c r="B346" i="11" s="1"/>
  <c r="B347" i="11" s="1"/>
  <c r="B348" i="11" s="1"/>
  <c r="B349" i="11" s="1"/>
  <c r="B350" i="11" s="1"/>
  <c r="B351" i="11" s="1"/>
  <c r="B352" i="11" s="1"/>
  <c r="B353" i="11" s="1"/>
  <c r="B354" i="11" s="1"/>
  <c r="B355" i="11" s="1"/>
  <c r="B356" i="11" s="1"/>
  <c r="B357" i="11" s="1"/>
  <c r="B358" i="11" s="1"/>
  <c r="B359" i="11" s="1"/>
  <c r="B360" i="11" s="1"/>
  <c r="B361" i="11" s="1"/>
  <c r="B362" i="11" s="1"/>
  <c r="B363" i="11" s="1"/>
  <c r="B364" i="11" s="1"/>
  <c r="B365" i="11" s="1"/>
  <c r="B366" i="11" s="1"/>
  <c r="B367" i="11" s="1"/>
  <c r="B368" i="11" s="1"/>
  <c r="B369" i="11" s="1"/>
  <c r="B370" i="11" s="1"/>
  <c r="B371" i="11" s="1"/>
  <c r="B372" i="11" s="1"/>
  <c r="B373" i="11" s="1"/>
  <c r="B374" i="11" s="1"/>
  <c r="B375" i="11" s="1"/>
  <c r="B376" i="11" s="1"/>
  <c r="B377" i="11" s="1"/>
  <c r="B378" i="11" s="1"/>
  <c r="B379" i="11" s="1"/>
  <c r="B380" i="11" s="1"/>
  <c r="B381" i="11" s="1"/>
  <c r="B382" i="11" s="1"/>
  <c r="B383" i="11" s="1"/>
  <c r="B384" i="11" s="1"/>
  <c r="B385" i="11" s="1"/>
  <c r="B386" i="11" s="1"/>
  <c r="B387" i="11" s="1"/>
  <c r="B388" i="11" s="1"/>
  <c r="B389" i="11" s="1"/>
  <c r="B390" i="11" s="1"/>
  <c r="B391" i="11" s="1"/>
  <c r="B392" i="11" s="1"/>
  <c r="B393" i="11" s="1"/>
  <c r="B394" i="11" s="1"/>
  <c r="B395" i="11" s="1"/>
  <c r="B396" i="11" s="1"/>
  <c r="B397" i="11" s="1"/>
  <c r="B398" i="11" s="1"/>
  <c r="B399" i="11" s="1"/>
  <c r="B400" i="11" s="1"/>
  <c r="B401" i="11" s="1"/>
  <c r="B402" i="11" s="1"/>
  <c r="B403" i="11" s="1"/>
  <c r="B404" i="11" s="1"/>
  <c r="B405" i="11" s="1"/>
  <c r="B406" i="11" s="1"/>
  <c r="B407" i="11" s="1"/>
  <c r="B408" i="11" s="1"/>
  <c r="B409" i="11" s="1"/>
  <c r="B410" i="11" s="1"/>
  <c r="B411" i="11" s="1"/>
  <c r="B412" i="11" s="1"/>
  <c r="B413" i="11" s="1"/>
  <c r="B414" i="11" s="1"/>
  <c r="B415" i="11" s="1"/>
  <c r="B416" i="11" s="1"/>
  <c r="B417" i="11" s="1"/>
  <c r="B418" i="11" s="1"/>
  <c r="B419" i="11" s="1"/>
  <c r="B420" i="11" s="1"/>
  <c r="B421" i="11" s="1"/>
  <c r="B422" i="11" s="1"/>
  <c r="B423" i="11" s="1"/>
  <c r="B424" i="11" s="1"/>
  <c r="B425" i="11" s="1"/>
  <c r="B426" i="11" s="1"/>
  <c r="B427" i="11" s="1"/>
  <c r="B428" i="11" s="1"/>
  <c r="B429" i="11" s="1"/>
  <c r="B430" i="11" s="1"/>
  <c r="B431" i="11" s="1"/>
  <c r="B432" i="11" s="1"/>
  <c r="B433" i="11" s="1"/>
  <c r="B434" i="11" s="1"/>
  <c r="B435" i="11" s="1"/>
  <c r="B436" i="11" s="1"/>
  <c r="B437" i="11" s="1"/>
  <c r="B438" i="11" s="1"/>
  <c r="B439" i="11" s="1"/>
  <c r="B440" i="11" s="1"/>
  <c r="B441" i="11" s="1"/>
  <c r="B442" i="11" s="1"/>
  <c r="B443" i="11" s="1"/>
  <c r="B444" i="11" s="1"/>
  <c r="B445" i="11" s="1"/>
  <c r="B446" i="11" s="1"/>
  <c r="B447" i="11" s="1"/>
  <c r="B448" i="11" s="1"/>
  <c r="B449" i="11" s="1"/>
  <c r="B450" i="11" s="1"/>
  <c r="B451" i="11" s="1"/>
  <c r="B452" i="11" s="1"/>
  <c r="B453" i="11" s="1"/>
  <c r="B454" i="11" s="1"/>
  <c r="B455" i="11" s="1"/>
  <c r="B456" i="11" s="1"/>
  <c r="B457" i="11" s="1"/>
  <c r="B458" i="11" s="1"/>
  <c r="B459" i="11" s="1"/>
  <c r="B460" i="11" s="1"/>
  <c r="B461" i="11" s="1"/>
  <c r="B462" i="11" s="1"/>
  <c r="B463" i="11" s="1"/>
  <c r="B464" i="11" s="1"/>
  <c r="B465" i="11" s="1"/>
  <c r="B466" i="11" s="1"/>
  <c r="B467" i="11" s="1"/>
  <c r="B468" i="11" s="1"/>
  <c r="B469" i="11" s="1"/>
  <c r="B470" i="11" s="1"/>
  <c r="B471" i="11" s="1"/>
  <c r="B472" i="11" s="1"/>
  <c r="B473" i="11" s="1"/>
  <c r="B474" i="11" s="1"/>
  <c r="B475" i="11" s="1"/>
  <c r="B476" i="11" s="1"/>
  <c r="B477" i="11" s="1"/>
  <c r="B478" i="11" s="1"/>
  <c r="B479" i="11" s="1"/>
  <c r="B480" i="11" s="1"/>
  <c r="B481" i="11" s="1"/>
  <c r="B482" i="11" s="1"/>
  <c r="B483" i="11" s="1"/>
  <c r="B484" i="11" s="1"/>
  <c r="B485" i="11" s="1"/>
  <c r="B486" i="11" s="1"/>
  <c r="B487" i="11" s="1"/>
  <c r="B488" i="11" s="1"/>
  <c r="B489" i="11" s="1"/>
  <c r="J11" i="11"/>
  <c r="L11" i="11" s="1"/>
  <c r="E11" i="11" l="1"/>
  <c r="F11" i="11" s="1"/>
  <c r="G11" i="11" s="1"/>
  <c r="C12" i="11" s="1"/>
  <c r="K11" i="11"/>
  <c r="M11" i="11" s="1"/>
  <c r="N11" i="11" s="1"/>
  <c r="J12" i="11" s="1"/>
  <c r="D12" i="11" l="1"/>
  <c r="E12" i="11"/>
  <c r="L12" i="11"/>
  <c r="K12" i="11"/>
  <c r="M12" i="11" l="1"/>
  <c r="N12" i="11" s="1"/>
  <c r="J13" i="11" s="1"/>
  <c r="L13" i="11" s="1"/>
  <c r="F12" i="11"/>
  <c r="G12" i="11" s="1"/>
  <c r="C13" i="11" s="1"/>
  <c r="D13" i="11" s="1"/>
  <c r="K13" i="11" l="1"/>
  <c r="M13" i="11" s="1"/>
  <c r="N13" i="11" s="1"/>
  <c r="J14" i="11" s="1"/>
  <c r="L14" i="11" s="1"/>
  <c r="E13" i="11"/>
  <c r="F13" i="11" s="1"/>
  <c r="G13" i="11" s="1"/>
  <c r="C14" i="11" s="1"/>
  <c r="E14" i="11" l="1"/>
  <c r="D14" i="11"/>
  <c r="F14" i="11" s="1"/>
  <c r="G14" i="11" s="1"/>
  <c r="C15" i="11" s="1"/>
  <c r="E15" i="11" s="1"/>
  <c r="K14" i="11"/>
  <c r="M14" i="11" s="1"/>
  <c r="N14" i="11" s="1"/>
  <c r="J15" i="11" s="1"/>
  <c r="D15" i="11" l="1"/>
  <c r="F15" i="11" s="1"/>
  <c r="G15" i="11" s="1"/>
  <c r="C16" i="11" s="1"/>
  <c r="E16" i="11" s="1"/>
  <c r="K15" i="11"/>
  <c r="L15" i="11"/>
  <c r="M15" i="11" l="1"/>
  <c r="N15" i="11" s="1"/>
  <c r="J16" i="11" s="1"/>
  <c r="L16" i="11" s="1"/>
  <c r="D16" i="11"/>
  <c r="F16" i="11" s="1"/>
  <c r="G16" i="11" s="1"/>
  <c r="C17" i="11" s="1"/>
  <c r="E17" i="11" s="1"/>
  <c r="D17" i="11" l="1"/>
  <c r="F17" i="11" s="1"/>
  <c r="G17" i="11" s="1"/>
  <c r="C18" i="11" s="1"/>
  <c r="E18" i="11" s="1"/>
  <c r="K16" i="11"/>
  <c r="M16" i="11" s="1"/>
  <c r="N16" i="11" s="1"/>
  <c r="J17" i="11" s="1"/>
  <c r="L17" i="11" s="1"/>
  <c r="D18" i="11" l="1"/>
  <c r="F18" i="11" s="1"/>
  <c r="G18" i="11" s="1"/>
  <c r="C19" i="11" s="1"/>
  <c r="K17" i="11"/>
  <c r="M17" i="11" s="1"/>
  <c r="N17" i="11" s="1"/>
  <c r="J18" i="11" s="1"/>
  <c r="E19" i="11" l="1"/>
  <c r="D19" i="11"/>
  <c r="L18" i="11"/>
  <c r="K18" i="11"/>
  <c r="F19" i="11" l="1"/>
  <c r="G19" i="11" s="1"/>
  <c r="C20" i="11" s="1"/>
  <c r="M18" i="11"/>
  <c r="N18" i="11" s="1"/>
  <c r="J19" i="11" s="1"/>
  <c r="D20" i="11" l="1"/>
  <c r="E20" i="11"/>
  <c r="L19" i="11"/>
  <c r="K19" i="11"/>
  <c r="F20" i="11" l="1"/>
  <c r="G20" i="11" s="1"/>
  <c r="C21" i="11" s="1"/>
  <c r="M19" i="11"/>
  <c r="N19" i="11" s="1"/>
  <c r="J20" i="11" s="1"/>
  <c r="D21" i="11" l="1"/>
  <c r="E21" i="11"/>
  <c r="L20" i="11"/>
  <c r="K20" i="11"/>
  <c r="F21" i="11" l="1"/>
  <c r="G21" i="11" s="1"/>
  <c r="C22" i="11" s="1"/>
  <c r="M20" i="11"/>
  <c r="N20" i="11" s="1"/>
  <c r="J21" i="11" s="1"/>
  <c r="E22" i="11" l="1"/>
  <c r="D22" i="11"/>
  <c r="K21" i="11"/>
  <c r="L21" i="11"/>
  <c r="F22" i="11" l="1"/>
  <c r="G22" i="11" s="1"/>
  <c r="C23" i="11" s="1"/>
  <c r="D23" i="11" s="1"/>
  <c r="M21" i="11"/>
  <c r="N21" i="11" s="1"/>
  <c r="J22" i="11" s="1"/>
  <c r="E23" i="11" l="1"/>
  <c r="F23" i="11" s="1"/>
  <c r="G23" i="11" s="1"/>
  <c r="C24" i="11" s="1"/>
  <c r="K22" i="11"/>
  <c r="L22" i="11"/>
  <c r="L107" i="2" s="1"/>
  <c r="L109" i="2" s="1"/>
  <c r="E24" i="11" l="1"/>
  <c r="D24" i="11"/>
  <c r="F24" i="11" s="1"/>
  <c r="G24" i="11" s="1"/>
  <c r="C25" i="11" s="1"/>
  <c r="M22" i="11"/>
  <c r="N22" i="11" s="1"/>
  <c r="J23" i="11" l="1"/>
  <c r="K23" i="11" s="1"/>
  <c r="L61" i="5"/>
  <c r="L23" i="11"/>
  <c r="E25" i="11"/>
  <c r="D25" i="11"/>
  <c r="F25" i="11" s="1"/>
  <c r="G25" i="11" s="1"/>
  <c r="C26" i="11" s="1"/>
  <c r="M23" i="11" l="1"/>
  <c r="N23" i="11" s="1"/>
  <c r="J24" i="11" s="1"/>
  <c r="L24" i="11" s="1"/>
  <c r="E26" i="11"/>
  <c r="D26" i="11"/>
  <c r="K24" i="11" l="1"/>
  <c r="M24" i="11" s="1"/>
  <c r="N24" i="11" s="1"/>
  <c r="J25" i="11" s="1"/>
  <c r="K25" i="11" s="1"/>
  <c r="F26" i="11"/>
  <c r="G26" i="11" s="1"/>
  <c r="C27" i="11" s="1"/>
  <c r="D27" i="11" s="1"/>
  <c r="E27" i="11"/>
  <c r="L25" i="11" l="1"/>
  <c r="M25" i="11" s="1"/>
  <c r="N25" i="11" s="1"/>
  <c r="J26" i="11" s="1"/>
  <c r="F27" i="11"/>
  <c r="G27" i="11" s="1"/>
  <c r="C28" i="11" s="1"/>
  <c r="E28" i="11" s="1"/>
  <c r="D28" i="11" l="1"/>
  <c r="F28" i="11" s="1"/>
  <c r="G28" i="11" s="1"/>
  <c r="C29" i="11" s="1"/>
  <c r="D29" i="11" s="1"/>
  <c r="L26" i="11"/>
  <c r="K26" i="11"/>
  <c r="M26" i="11" s="1"/>
  <c r="N26" i="11" s="1"/>
  <c r="J27" i="11" s="1"/>
  <c r="E29" i="11" l="1"/>
  <c r="F29" i="11" s="1"/>
  <c r="G29" i="11" s="1"/>
  <c r="C30" i="11" s="1"/>
  <c r="E30" i="11" s="1"/>
  <c r="K27" i="11"/>
  <c r="L27" i="11"/>
  <c r="D30" i="11" l="1"/>
  <c r="F30" i="11" s="1"/>
  <c r="G30" i="11" s="1"/>
  <c r="C31" i="11" s="1"/>
  <c r="E31" i="11" s="1"/>
  <c r="M27" i="11"/>
  <c r="N27" i="11" s="1"/>
  <c r="J28" i="11" s="1"/>
  <c r="D31" i="11" l="1"/>
  <c r="F31" i="11" s="1"/>
  <c r="G31" i="11" s="1"/>
  <c r="C32" i="11" s="1"/>
  <c r="E32" i="11" s="1"/>
  <c r="L28" i="11"/>
  <c r="K28" i="11"/>
  <c r="M28" i="11" l="1"/>
  <c r="N28" i="11" s="1"/>
  <c r="J29" i="11" s="1"/>
  <c r="K29" i="11" s="1"/>
  <c r="D32" i="11"/>
  <c r="F32" i="11" s="1"/>
  <c r="G32" i="11" s="1"/>
  <c r="C33" i="11" s="1"/>
  <c r="E33" i="11" s="1"/>
  <c r="L29" i="11" l="1"/>
  <c r="M29" i="11" s="1"/>
  <c r="N29" i="11" s="1"/>
  <c r="J30" i="11" s="1"/>
  <c r="L30" i="11" s="1"/>
  <c r="D33" i="11"/>
  <c r="F33" i="11" s="1"/>
  <c r="G33" i="11" s="1"/>
  <c r="C34" i="11" s="1"/>
  <c r="K30" i="11" l="1"/>
  <c r="M30" i="11" s="1"/>
  <c r="N30" i="11" s="1"/>
  <c r="J31" i="11" s="1"/>
  <c r="E34" i="11"/>
  <c r="D34" i="11"/>
  <c r="L31" i="11" l="1"/>
  <c r="K31" i="11"/>
  <c r="F34" i="11"/>
  <c r="G34" i="11" s="1"/>
  <c r="C35" i="11" s="1"/>
  <c r="M31" i="11" l="1"/>
  <c r="N31" i="11" s="1"/>
  <c r="J32" i="11" s="1"/>
  <c r="K32" i="11" s="1"/>
  <c r="E35" i="11"/>
  <c r="D35" i="11"/>
  <c r="L32" i="11" l="1"/>
  <c r="M32" i="11" s="1"/>
  <c r="N32" i="11" s="1"/>
  <c r="J33" i="11" s="1"/>
  <c r="F35" i="11"/>
  <c r="G35" i="11" s="1"/>
  <c r="C36" i="11" s="1"/>
  <c r="E36" i="11"/>
  <c r="D36" i="11"/>
  <c r="F36" i="11" s="1"/>
  <c r="G36" i="11" s="1"/>
  <c r="C37" i="11" s="1"/>
  <c r="L33" i="11" l="1"/>
  <c r="K33" i="11"/>
  <c r="M33" i="11" s="1"/>
  <c r="N33" i="11" s="1"/>
  <c r="J34" i="11" s="1"/>
  <c r="K34" i="11" s="1"/>
  <c r="D37" i="11"/>
  <c r="E37" i="11"/>
  <c r="L34" i="11" l="1"/>
  <c r="M34" i="11" s="1"/>
  <c r="N34" i="11" s="1"/>
  <c r="M107" i="2"/>
  <c r="M109" i="2" s="1"/>
  <c r="F37" i="11"/>
  <c r="G37" i="11" s="1"/>
  <c r="C38" i="11" s="1"/>
  <c r="D38" i="11" s="1"/>
  <c r="E38" i="11"/>
  <c r="J35" i="11" l="1"/>
  <c r="M61" i="5"/>
  <c r="J31" i="9" s="1"/>
  <c r="F38" i="11"/>
  <c r="G38" i="11" s="1"/>
  <c r="C39" i="11" s="1"/>
  <c r="L35" i="11" l="1"/>
  <c r="K35" i="11"/>
  <c r="E39" i="11"/>
  <c r="D39" i="11"/>
  <c r="F39" i="11" s="1"/>
  <c r="G39" i="11" s="1"/>
  <c r="C40" i="11" s="1"/>
  <c r="M35" i="11" l="1"/>
  <c r="N35" i="11" s="1"/>
  <c r="J36" i="11" s="1"/>
  <c r="L36" i="11" s="1"/>
  <c r="E40" i="11"/>
  <c r="D40" i="11"/>
  <c r="K36" i="11" l="1"/>
  <c r="M36" i="11" s="1"/>
  <c r="N36" i="11" s="1"/>
  <c r="J37" i="11" s="1"/>
  <c r="F40" i="11"/>
  <c r="G40" i="11" s="1"/>
  <c r="C41" i="11" s="1"/>
  <c r="E41" i="11"/>
  <c r="D41" i="11"/>
  <c r="F41" i="11" s="1"/>
  <c r="G41" i="11" s="1"/>
  <c r="C42" i="11" s="1"/>
  <c r="K37" i="11" l="1"/>
  <c r="L37" i="11"/>
  <c r="E42" i="11"/>
  <c r="D42" i="11"/>
  <c r="M37" i="11" l="1"/>
  <c r="N37" i="11" s="1"/>
  <c r="J38" i="11" s="1"/>
  <c r="F42" i="11"/>
  <c r="G42" i="11" s="1"/>
  <c r="C43" i="11" s="1"/>
  <c r="D43" i="11"/>
  <c r="E43" i="11"/>
  <c r="L38" i="11" l="1"/>
  <c r="K38" i="11"/>
  <c r="M38" i="11" s="1"/>
  <c r="N38" i="11" s="1"/>
  <c r="J39" i="11" s="1"/>
  <c r="F43" i="11"/>
  <c r="G43" i="11" s="1"/>
  <c r="C44" i="11" s="1"/>
  <c r="D44" i="11" s="1"/>
  <c r="F44" i="11" s="1"/>
  <c r="G44" i="11" s="1"/>
  <c r="C45" i="11" s="1"/>
  <c r="E44" i="11"/>
  <c r="L39" i="11" l="1"/>
  <c r="K39" i="11"/>
  <c r="E45" i="11"/>
  <c r="D45" i="11"/>
  <c r="M39" i="11" l="1"/>
  <c r="N39" i="11" s="1"/>
  <c r="J40" i="11" s="1"/>
  <c r="L40" i="11" s="1"/>
  <c r="F45" i="11"/>
  <c r="G45" i="11" s="1"/>
  <c r="C46" i="11" s="1"/>
  <c r="K40" i="11" l="1"/>
  <c r="M40" i="11" s="1"/>
  <c r="N40" i="11" s="1"/>
  <c r="J41" i="11" s="1"/>
  <c r="L41" i="11" s="1"/>
  <c r="E46" i="11"/>
  <c r="D46" i="11"/>
  <c r="F46" i="11" s="1"/>
  <c r="G46" i="11" s="1"/>
  <c r="C47" i="11" s="1"/>
  <c r="K41" i="11" l="1"/>
  <c r="M41" i="11" s="1"/>
  <c r="N41" i="11" s="1"/>
  <c r="J42" i="11" s="1"/>
  <c r="L42" i="11" s="1"/>
  <c r="E47" i="11"/>
  <c r="D47" i="11"/>
  <c r="K42" i="11" l="1"/>
  <c r="M42" i="11" s="1"/>
  <c r="N42" i="11" s="1"/>
  <c r="J43" i="11" s="1"/>
  <c r="F47" i="11"/>
  <c r="G47" i="11" s="1"/>
  <c r="C48" i="11" s="1"/>
  <c r="D48" i="11" s="1"/>
  <c r="L43" i="11" l="1"/>
  <c r="K43" i="11"/>
  <c r="M43" i="11" s="1"/>
  <c r="N43" i="11" s="1"/>
  <c r="J44" i="11" s="1"/>
  <c r="E48" i="11"/>
  <c r="F48" i="11" s="1"/>
  <c r="G48" i="11" s="1"/>
  <c r="C49" i="11" s="1"/>
  <c r="K44" i="11" l="1"/>
  <c r="M44" i="11" s="1"/>
  <c r="N44" i="11" s="1"/>
  <c r="J45" i="11" s="1"/>
  <c r="L44" i="11"/>
  <c r="E49" i="11"/>
  <c r="D49" i="11"/>
  <c r="L45" i="11" l="1"/>
  <c r="K45" i="11"/>
  <c r="F49" i="11"/>
  <c r="G49" i="11" s="1"/>
  <c r="C50" i="11" s="1"/>
  <c r="E50" i="11" s="1"/>
  <c r="M45" i="11" l="1"/>
  <c r="N45" i="11" s="1"/>
  <c r="J46" i="11" s="1"/>
  <c r="D50" i="11"/>
  <c r="F50" i="11" s="1"/>
  <c r="G50" i="11" s="1"/>
  <c r="C51" i="11" s="1"/>
  <c r="D51" i="11" s="1"/>
  <c r="L46" i="11" l="1"/>
  <c r="N107" i="2" s="1"/>
  <c r="N109" i="2" s="1"/>
  <c r="K46" i="11"/>
  <c r="E51" i="11"/>
  <c r="F51" i="11" s="1"/>
  <c r="G51" i="11" s="1"/>
  <c r="C52" i="11" s="1"/>
  <c r="M46" i="11" l="1"/>
  <c r="N46" i="11" s="1"/>
  <c r="E52" i="11"/>
  <c r="D52" i="11"/>
  <c r="J47" i="11" l="1"/>
  <c r="N61" i="5"/>
  <c r="K31" i="9" s="1"/>
  <c r="F52" i="11"/>
  <c r="G52" i="11" s="1"/>
  <c r="C53" i="11" s="1"/>
  <c r="D53" i="11" s="1"/>
  <c r="E53" i="11"/>
  <c r="K47" i="11" l="1"/>
  <c r="L47" i="11"/>
  <c r="F53" i="11"/>
  <c r="G53" i="11" s="1"/>
  <c r="C54" i="11" s="1"/>
  <c r="E54" i="11" s="1"/>
  <c r="D54" i="11"/>
  <c r="M47" i="11" l="1"/>
  <c r="N47" i="11" s="1"/>
  <c r="J48" i="11" s="1"/>
  <c r="F54" i="11"/>
  <c r="G54" i="11" s="1"/>
  <c r="C55" i="11" s="1"/>
  <c r="E55" i="11" s="1"/>
  <c r="K48" i="11" l="1"/>
  <c r="M48" i="11" s="1"/>
  <c r="N48" i="11" s="1"/>
  <c r="J49" i="11" s="1"/>
  <c r="L48" i="11"/>
  <c r="D55" i="11"/>
  <c r="F55" i="11" s="1"/>
  <c r="G55" i="11" s="1"/>
  <c r="C56" i="11" s="1"/>
  <c r="E56" i="11" s="1"/>
  <c r="L49" i="11" l="1"/>
  <c r="K49" i="11"/>
  <c r="D56" i="11"/>
  <c r="F56" i="11" s="1"/>
  <c r="G56" i="11" s="1"/>
  <c r="C57" i="11" s="1"/>
  <c r="E57" i="11" s="1"/>
  <c r="M49" i="11" l="1"/>
  <c r="N49" i="11" s="1"/>
  <c r="J50" i="11" s="1"/>
  <c r="L50" i="11" s="1"/>
  <c r="K50" i="11"/>
  <c r="D57" i="11"/>
  <c r="F57" i="11" s="1"/>
  <c r="G57" i="11" s="1"/>
  <c r="C58" i="11" s="1"/>
  <c r="E58" i="11" s="1"/>
  <c r="M50" i="11" l="1"/>
  <c r="N50" i="11" s="1"/>
  <c r="J51" i="11" s="1"/>
  <c r="L51" i="11" s="1"/>
  <c r="D58" i="11"/>
  <c r="F58" i="11" s="1"/>
  <c r="G58" i="11" s="1"/>
  <c r="C59" i="11" s="1"/>
  <c r="D59" i="11" s="1"/>
  <c r="K51" i="11" l="1"/>
  <c r="M51" i="11" s="1"/>
  <c r="N51" i="11" s="1"/>
  <c r="J52" i="11" s="1"/>
  <c r="E59" i="11"/>
  <c r="F59" i="11" s="1"/>
  <c r="G59" i="11" s="1"/>
  <c r="C60" i="11" s="1"/>
  <c r="K52" i="11" l="1"/>
  <c r="L52" i="11"/>
  <c r="E60" i="11"/>
  <c r="D60" i="11"/>
  <c r="F60" i="11" s="1"/>
  <c r="G60" i="11" s="1"/>
  <c r="C61" i="11" s="1"/>
  <c r="D61" i="11" s="1"/>
  <c r="M52" i="11" l="1"/>
  <c r="N52" i="11" s="1"/>
  <c r="J53" i="11" s="1"/>
  <c r="K53" i="11" s="1"/>
  <c r="E61" i="11"/>
  <c r="F61" i="11" s="1"/>
  <c r="G61" i="11" s="1"/>
  <c r="C62" i="11" s="1"/>
  <c r="L53" i="11" l="1"/>
  <c r="M53" i="11" s="1"/>
  <c r="N53" i="11" s="1"/>
  <c r="J54" i="11" s="1"/>
  <c r="E62" i="11"/>
  <c r="D62" i="11"/>
  <c r="F62" i="11" s="1"/>
  <c r="G62" i="11" s="1"/>
  <c r="C63" i="11" s="1"/>
  <c r="K54" i="11" l="1"/>
  <c r="L54" i="11"/>
  <c r="E63" i="11"/>
  <c r="D63" i="11"/>
  <c r="M54" i="11" l="1"/>
  <c r="N54" i="11" s="1"/>
  <c r="J55" i="11" s="1"/>
  <c r="F63" i="11"/>
  <c r="G63" i="11" s="1"/>
  <c r="C64" i="11" s="1"/>
  <c r="E64" i="11" s="1"/>
  <c r="K55" i="11" l="1"/>
  <c r="L55" i="11"/>
  <c r="D64" i="11"/>
  <c r="F64" i="11" s="1"/>
  <c r="G64" i="11" s="1"/>
  <c r="C65" i="11" s="1"/>
  <c r="M55" i="11" l="1"/>
  <c r="N55" i="11" s="1"/>
  <c r="J56" i="11" s="1"/>
  <c r="E65" i="11"/>
  <c r="D65" i="11"/>
  <c r="F65" i="11" s="1"/>
  <c r="G65" i="11" s="1"/>
  <c r="C66" i="11" s="1"/>
  <c r="E66" i="11" s="1"/>
  <c r="L56" i="11" l="1"/>
  <c r="K56" i="11"/>
  <c r="M56" i="11" s="1"/>
  <c r="N56" i="11" s="1"/>
  <c r="J57" i="11" s="1"/>
  <c r="D66" i="11"/>
  <c r="F66" i="11" s="1"/>
  <c r="G66" i="11" s="1"/>
  <c r="C67" i="11" s="1"/>
  <c r="D67" i="11" s="1"/>
  <c r="K57" i="11" l="1"/>
  <c r="M57" i="11" s="1"/>
  <c r="N57" i="11" s="1"/>
  <c r="J58" i="11" s="1"/>
  <c r="L57" i="11"/>
  <c r="E67" i="11"/>
  <c r="F67" i="11" s="1"/>
  <c r="G67" i="11" s="1"/>
  <c r="C68" i="11" s="1"/>
  <c r="D68" i="11" s="1"/>
  <c r="L58" i="11" l="1"/>
  <c r="O107" i="2" s="1"/>
  <c r="O109" i="2" s="1"/>
  <c r="K58" i="11"/>
  <c r="E68" i="11"/>
  <c r="F68" i="11" s="1"/>
  <c r="G68" i="11" s="1"/>
  <c r="C69" i="11" s="1"/>
  <c r="M58" i="11" l="1"/>
  <c r="N58" i="11" s="1"/>
  <c r="E69" i="11"/>
  <c r="D69" i="11"/>
  <c r="J59" i="11" l="1"/>
  <c r="O61" i="5"/>
  <c r="L31" i="9" s="1"/>
  <c r="F69" i="11"/>
  <c r="G69" i="11" s="1"/>
  <c r="C70" i="11" s="1"/>
  <c r="K59" i="11" l="1"/>
  <c r="M59" i="11" s="1"/>
  <c r="N59" i="11" s="1"/>
  <c r="J60" i="11" s="1"/>
  <c r="L59" i="11"/>
  <c r="E70" i="11"/>
  <c r="D70" i="11"/>
  <c r="F70" i="11" s="1"/>
  <c r="G70" i="11" s="1"/>
  <c r="C71" i="11" s="1"/>
  <c r="L60" i="11" l="1"/>
  <c r="K60" i="11"/>
  <c r="M60" i="11" s="1"/>
  <c r="N60" i="11" s="1"/>
  <c r="J61" i="11" s="1"/>
  <c r="E71" i="11"/>
  <c r="D71" i="11"/>
  <c r="K61" i="11" l="1"/>
  <c r="M61" i="11" s="1"/>
  <c r="N61" i="11" s="1"/>
  <c r="J62" i="11" s="1"/>
  <c r="L61" i="11"/>
  <c r="F71" i="11"/>
  <c r="G71" i="11" s="1"/>
  <c r="C72" i="11" s="1"/>
  <c r="E72" i="11"/>
  <c r="D72" i="11"/>
  <c r="L62" i="11" l="1"/>
  <c r="K62" i="11"/>
  <c r="M62" i="11" s="1"/>
  <c r="N62" i="11" s="1"/>
  <c r="J63" i="11" s="1"/>
  <c r="L63" i="11" s="1"/>
  <c r="F72" i="11"/>
  <c r="G72" i="11" s="1"/>
  <c r="C73" i="11" s="1"/>
  <c r="K63" i="11" l="1"/>
  <c r="M63" i="11" s="1"/>
  <c r="N63" i="11" s="1"/>
  <c r="J64" i="11" s="1"/>
  <c r="K64" i="11" s="1"/>
  <c r="E73" i="11"/>
  <c r="D73" i="11"/>
  <c r="L64" i="11" l="1"/>
  <c r="M64" i="11" s="1"/>
  <c r="N64" i="11" s="1"/>
  <c r="J65" i="11" s="1"/>
  <c r="L65" i="11" s="1"/>
  <c r="F73" i="11"/>
  <c r="G73" i="11" s="1"/>
  <c r="C74" i="11" s="1"/>
  <c r="E74" i="11"/>
  <c r="D74" i="11"/>
  <c r="K65" i="11" l="1"/>
  <c r="M65" i="11" s="1"/>
  <c r="N65" i="11" s="1"/>
  <c r="J66" i="11" s="1"/>
  <c r="L66" i="11" s="1"/>
  <c r="F74" i="11"/>
  <c r="G74" i="11" s="1"/>
  <c r="C75" i="11" s="1"/>
  <c r="K66" i="11" l="1"/>
  <c r="M66" i="11" s="1"/>
  <c r="N66" i="11" s="1"/>
  <c r="J67" i="11" s="1"/>
  <c r="K67" i="11" s="1"/>
  <c r="D75" i="11"/>
  <c r="E75" i="11"/>
  <c r="L67" i="11" l="1"/>
  <c r="M67" i="11" s="1"/>
  <c r="N67" i="11" s="1"/>
  <c r="J68" i="11" s="1"/>
  <c r="K68" i="11" s="1"/>
  <c r="F75" i="11"/>
  <c r="G75" i="11" s="1"/>
  <c r="C76" i="11" s="1"/>
  <c r="L68" i="11" l="1"/>
  <c r="M68" i="11" s="1"/>
  <c r="N68" i="11" s="1"/>
  <c r="J69" i="11" s="1"/>
  <c r="E76" i="11"/>
  <c r="D76" i="11"/>
  <c r="F76" i="11" s="1"/>
  <c r="G76" i="11" s="1"/>
  <c r="C77" i="11" s="1"/>
  <c r="K69" i="11" l="1"/>
  <c r="M69" i="11" s="1"/>
  <c r="N69" i="11" s="1"/>
  <c r="J70" i="11" s="1"/>
  <c r="L69" i="11"/>
  <c r="E77" i="11"/>
  <c r="D77" i="11"/>
  <c r="L70" i="11" l="1"/>
  <c r="P107" i="2" s="1"/>
  <c r="P109" i="2" s="1"/>
  <c r="K70" i="11"/>
  <c r="F77" i="11"/>
  <c r="G77" i="11" s="1"/>
  <c r="C78" i="11" s="1"/>
  <c r="M70" i="11" l="1"/>
  <c r="N70" i="11" s="1"/>
  <c r="E78" i="11"/>
  <c r="D78" i="11"/>
  <c r="J71" i="11" l="1"/>
  <c r="P61" i="5"/>
  <c r="F78" i="11"/>
  <c r="G78" i="11" s="1"/>
  <c r="C79" i="11" s="1"/>
  <c r="D79" i="11" s="1"/>
  <c r="M31" i="9" l="1"/>
  <c r="N31" i="9"/>
  <c r="L71" i="11"/>
  <c r="K71" i="11"/>
  <c r="M71" i="11" s="1"/>
  <c r="N71" i="11" s="1"/>
  <c r="J72" i="11" s="1"/>
  <c r="E79" i="11"/>
  <c r="F79" i="11" s="1"/>
  <c r="G79" i="11" s="1"/>
  <c r="C80" i="11" s="1"/>
  <c r="E80" i="11" s="1"/>
  <c r="L72" i="11" l="1"/>
  <c r="K72" i="11"/>
  <c r="D80" i="11"/>
  <c r="F80" i="11" s="1"/>
  <c r="G80" i="11" s="1"/>
  <c r="C81" i="11" s="1"/>
  <c r="M72" i="11" l="1"/>
  <c r="N72" i="11" s="1"/>
  <c r="J73" i="11" s="1"/>
  <c r="K73" i="11" s="1"/>
  <c r="E81" i="11"/>
  <c r="D81" i="11"/>
  <c r="L73" i="11" l="1"/>
  <c r="M73" i="11" s="1"/>
  <c r="N73" i="11" s="1"/>
  <c r="J74" i="11" s="1"/>
  <c r="L74" i="11"/>
  <c r="K74" i="11"/>
  <c r="M74" i="11" s="1"/>
  <c r="N74" i="11" s="1"/>
  <c r="J75" i="11" s="1"/>
  <c r="F81" i="11"/>
  <c r="G81" i="11" s="1"/>
  <c r="C82" i="11" s="1"/>
  <c r="L75" i="11" l="1"/>
  <c r="K75" i="11"/>
  <c r="M75" i="11" s="1"/>
  <c r="N75" i="11" s="1"/>
  <c r="J76" i="11" s="1"/>
  <c r="E82" i="11"/>
  <c r="D82" i="11"/>
  <c r="L76" i="11" l="1"/>
  <c r="K76" i="11"/>
  <c r="M76" i="11" s="1"/>
  <c r="N76" i="11" s="1"/>
  <c r="J77" i="11" s="1"/>
  <c r="F82" i="11"/>
  <c r="G82" i="11" s="1"/>
  <c r="C83" i="11" s="1"/>
  <c r="D83" i="11" s="1"/>
  <c r="E83" i="11"/>
  <c r="K77" i="11" l="1"/>
  <c r="L77" i="11"/>
  <c r="M77" i="11" s="1"/>
  <c r="N77" i="11" s="1"/>
  <c r="J78" i="11" s="1"/>
  <c r="F83" i="11"/>
  <c r="G83" i="11" s="1"/>
  <c r="C84" i="11" s="1"/>
  <c r="E84" i="11" s="1"/>
  <c r="K78" i="11" l="1"/>
  <c r="M78" i="11" s="1"/>
  <c r="N78" i="11" s="1"/>
  <c r="J79" i="11" s="1"/>
  <c r="L78" i="11"/>
  <c r="D84" i="11"/>
  <c r="F84" i="11" s="1"/>
  <c r="G84" i="11" s="1"/>
  <c r="C85" i="11" s="1"/>
  <c r="L79" i="11" l="1"/>
  <c r="K79" i="11"/>
  <c r="M79" i="11" s="1"/>
  <c r="N79" i="11" s="1"/>
  <c r="J80" i="11" s="1"/>
  <c r="E85" i="11"/>
  <c r="D85" i="11"/>
  <c r="L80" i="11" l="1"/>
  <c r="K80" i="11"/>
  <c r="M80" i="11" s="1"/>
  <c r="N80" i="11" s="1"/>
  <c r="J81" i="11" s="1"/>
  <c r="F85" i="11"/>
  <c r="G85" i="11" s="1"/>
  <c r="C86" i="11" s="1"/>
  <c r="E86" i="11"/>
  <c r="D86" i="11"/>
  <c r="K81" i="11" l="1"/>
  <c r="L81" i="11"/>
  <c r="F86" i="11"/>
  <c r="G86" i="11" s="1"/>
  <c r="C87" i="11" s="1"/>
  <c r="D87" i="11"/>
  <c r="E87" i="11"/>
  <c r="M81" i="11" l="1"/>
  <c r="N81" i="11" s="1"/>
  <c r="J82" i="11" s="1"/>
  <c r="F87" i="11"/>
  <c r="G87" i="11" s="1"/>
  <c r="C88" i="11" s="1"/>
  <c r="L82" i="11" l="1"/>
  <c r="K82" i="11"/>
  <c r="M82" i="11" s="1"/>
  <c r="N82" i="11" s="1"/>
  <c r="J83" i="11" s="1"/>
  <c r="D88" i="11"/>
  <c r="E88" i="11"/>
  <c r="L83" i="11" l="1"/>
  <c r="K83" i="11"/>
  <c r="M83" i="11" s="1"/>
  <c r="N83" i="11" s="1"/>
  <c r="J84" i="11" s="1"/>
  <c r="F88" i="11"/>
  <c r="G88" i="11" s="1"/>
  <c r="C89" i="11" s="1"/>
  <c r="D89" i="11" s="1"/>
  <c r="L84" i="11" l="1"/>
  <c r="K84" i="11"/>
  <c r="M84" i="11" s="1"/>
  <c r="N84" i="11" s="1"/>
  <c r="J85" i="11" s="1"/>
  <c r="E89" i="11"/>
  <c r="F89" i="11" s="1"/>
  <c r="G89" i="11" s="1"/>
  <c r="C90" i="11" s="1"/>
  <c r="K85" i="11" l="1"/>
  <c r="L85" i="11"/>
  <c r="D90" i="11"/>
  <c r="E90" i="11"/>
  <c r="F90" i="11" s="1"/>
  <c r="G90" i="11" s="1"/>
  <c r="C91" i="11" s="1"/>
  <c r="M85" i="11" l="1"/>
  <c r="N85" i="11" s="1"/>
  <c r="J86" i="11" s="1"/>
  <c r="L86" i="11" s="1"/>
  <c r="K86" i="11"/>
  <c r="D91" i="11"/>
  <c r="E91" i="11"/>
  <c r="M86" i="11" l="1"/>
  <c r="N86" i="11" s="1"/>
  <c r="J87" i="11" s="1"/>
  <c r="K87" i="11" s="1"/>
  <c r="M87" i="11" s="1"/>
  <c r="N87" i="11" s="1"/>
  <c r="J88" i="11" s="1"/>
  <c r="L87" i="11"/>
  <c r="F91" i="11"/>
  <c r="G91" i="11" s="1"/>
  <c r="C92" i="11" s="1"/>
  <c r="L88" i="11" l="1"/>
  <c r="K88" i="11"/>
  <c r="E92" i="11"/>
  <c r="D92" i="11"/>
  <c r="M88" i="11" l="1"/>
  <c r="N88" i="11" s="1"/>
  <c r="J89" i="11" s="1"/>
  <c r="F92" i="11"/>
  <c r="G92" i="11" s="1"/>
  <c r="C93" i="11" s="1"/>
  <c r="L89" i="11" l="1"/>
  <c r="K89" i="11"/>
  <c r="M89" i="11" s="1"/>
  <c r="N89" i="11" s="1"/>
  <c r="J90" i="11" s="1"/>
  <c r="D93" i="11"/>
  <c r="E93" i="11"/>
  <c r="K90" i="11" l="1"/>
  <c r="M90" i="11" s="1"/>
  <c r="N90" i="11" s="1"/>
  <c r="J91" i="11" s="1"/>
  <c r="L90" i="11"/>
  <c r="F93" i="11"/>
  <c r="G93" i="11" s="1"/>
  <c r="C94" i="11" s="1"/>
  <c r="D94" i="11" s="1"/>
  <c r="K91" i="11" l="1"/>
  <c r="M91" i="11" s="1"/>
  <c r="N91" i="11" s="1"/>
  <c r="J92" i="11" s="1"/>
  <c r="L91" i="11"/>
  <c r="E94" i="11"/>
  <c r="F94" i="11" s="1"/>
  <c r="G94" i="11" s="1"/>
  <c r="C95" i="11" s="1"/>
  <c r="L92" i="11" l="1"/>
  <c r="K92" i="11"/>
  <c r="E95" i="11"/>
  <c r="D95" i="11"/>
  <c r="F95" i="11" s="1"/>
  <c r="G95" i="11" s="1"/>
  <c r="C96" i="11" s="1"/>
  <c r="M92" i="11" l="1"/>
  <c r="N92" i="11" s="1"/>
  <c r="J93" i="11" s="1"/>
  <c r="E96" i="11"/>
  <c r="D96" i="11"/>
  <c r="F96" i="11" s="1"/>
  <c r="G96" i="11" s="1"/>
  <c r="C97" i="11" s="1"/>
  <c r="L93" i="11" l="1"/>
  <c r="K93" i="11"/>
  <c r="E97" i="11"/>
  <c r="D97" i="11"/>
  <c r="M93" i="11" l="1"/>
  <c r="N93" i="11" s="1"/>
  <c r="J94" i="11" s="1"/>
  <c r="F97" i="11"/>
  <c r="G97" i="11" s="1"/>
  <c r="C98" i="11" s="1"/>
  <c r="K94" i="11" l="1"/>
  <c r="L94" i="11"/>
  <c r="M94" i="11" s="1"/>
  <c r="N94" i="11" s="1"/>
  <c r="J95" i="11" s="1"/>
  <c r="E98" i="11"/>
  <c r="D98" i="11"/>
  <c r="F98" i="11" s="1"/>
  <c r="G98" i="11" s="1"/>
  <c r="C99" i="11" s="1"/>
  <c r="K95" i="11" l="1"/>
  <c r="L95" i="11"/>
  <c r="M95" i="11" s="1"/>
  <c r="N95" i="11" s="1"/>
  <c r="J96" i="11" s="1"/>
  <c r="D99" i="11"/>
  <c r="E99" i="11"/>
  <c r="K96" i="11" l="1"/>
  <c r="L96" i="11"/>
  <c r="F99" i="11"/>
  <c r="G99" i="11" s="1"/>
  <c r="C100" i="11" s="1"/>
  <c r="E100" i="11"/>
  <c r="D100" i="11"/>
  <c r="M96" i="11" l="1"/>
  <c r="N96" i="11" s="1"/>
  <c r="J97" i="11" s="1"/>
  <c r="F100" i="11"/>
  <c r="G100" i="11" s="1"/>
  <c r="C101" i="11" s="1"/>
  <c r="E101" i="11"/>
  <c r="D101" i="11"/>
  <c r="F101" i="11" s="1"/>
  <c r="G101" i="11" s="1"/>
  <c r="C102" i="11" s="1"/>
  <c r="L97" i="11" l="1"/>
  <c r="K97" i="11"/>
  <c r="E102" i="11"/>
  <c r="D102" i="11"/>
  <c r="F102" i="11" s="1"/>
  <c r="G102" i="11" s="1"/>
  <c r="C103" i="11" s="1"/>
  <c r="M97" i="11" l="1"/>
  <c r="N97" i="11" s="1"/>
  <c r="J98" i="11" s="1"/>
  <c r="E103" i="11"/>
  <c r="D103" i="11"/>
  <c r="K98" i="11" l="1"/>
  <c r="L98" i="11"/>
  <c r="F103" i="11"/>
  <c r="G103" i="11" s="1"/>
  <c r="C104" i="11" s="1"/>
  <c r="M98" i="11" l="1"/>
  <c r="N98" i="11" s="1"/>
  <c r="J99" i="11" s="1"/>
  <c r="E104" i="11"/>
  <c r="D104" i="11"/>
  <c r="L99" i="11" l="1"/>
  <c r="K99" i="11"/>
  <c r="F104" i="11"/>
  <c r="G104" i="11" s="1"/>
  <c r="C105" i="11" s="1"/>
  <c r="E105" i="11" s="1"/>
  <c r="D105" i="11"/>
  <c r="M99" i="11" l="1"/>
  <c r="N99" i="11" s="1"/>
  <c r="J100" i="11" s="1"/>
  <c r="L100" i="11" s="1"/>
  <c r="F105" i="11"/>
  <c r="G105" i="11" s="1"/>
  <c r="C106" i="11" s="1"/>
  <c r="E106" i="11" s="1"/>
  <c r="D106" i="11"/>
  <c r="K100" i="11" l="1"/>
  <c r="M100" i="11" s="1"/>
  <c r="N100" i="11" s="1"/>
  <c r="J101" i="11" s="1"/>
  <c r="F106" i="11"/>
  <c r="G106" i="11" s="1"/>
  <c r="C107" i="11" s="1"/>
  <c r="E107" i="11" s="1"/>
  <c r="K101" i="11" l="1"/>
  <c r="L101" i="11"/>
  <c r="M101" i="11" s="1"/>
  <c r="N101" i="11" s="1"/>
  <c r="J102" i="11" s="1"/>
  <c r="D107" i="11"/>
  <c r="F107" i="11" s="1"/>
  <c r="G107" i="11" s="1"/>
  <c r="C108" i="11" s="1"/>
  <c r="K102" i="11" l="1"/>
  <c r="L102" i="11"/>
  <c r="D108" i="11"/>
  <c r="E108" i="11"/>
  <c r="M102" i="11" l="1"/>
  <c r="N102" i="11" s="1"/>
  <c r="J103" i="11" s="1"/>
  <c r="F108" i="11"/>
  <c r="G108" i="11" s="1"/>
  <c r="C109" i="11" s="1"/>
  <c r="D109" i="11" s="1"/>
  <c r="E109" i="11"/>
  <c r="L103" i="11" l="1"/>
  <c r="K103" i="11"/>
  <c r="M103" i="11" s="1"/>
  <c r="N103" i="11" s="1"/>
  <c r="J104" i="11" s="1"/>
  <c r="F109" i="11"/>
  <c r="G109" i="11" s="1"/>
  <c r="C110" i="11" s="1"/>
  <c r="K104" i="11" l="1"/>
  <c r="L104" i="11"/>
  <c r="E110" i="11"/>
  <c r="D110" i="11"/>
  <c r="M104" i="11" l="1"/>
  <c r="N104" i="11" s="1"/>
  <c r="J105" i="11" s="1"/>
  <c r="F110" i="11"/>
  <c r="G110" i="11" s="1"/>
  <c r="C111" i="11" s="1"/>
  <c r="L105" i="11" l="1"/>
  <c r="K105" i="11"/>
  <c r="M105" i="11" s="1"/>
  <c r="N105" i="11" s="1"/>
  <c r="J106" i="11" s="1"/>
  <c r="D111" i="11"/>
  <c r="E111" i="11"/>
  <c r="L106" i="11" l="1"/>
  <c r="K106" i="11"/>
  <c r="M106" i="11" s="1"/>
  <c r="N106" i="11" s="1"/>
  <c r="J107" i="11" s="1"/>
  <c r="F111" i="11"/>
  <c r="G111" i="11" s="1"/>
  <c r="C112" i="11" s="1"/>
  <c r="L107" i="11" l="1"/>
  <c r="K107" i="11"/>
  <c r="E112" i="11"/>
  <c r="D112" i="11"/>
  <c r="F112" i="11" s="1"/>
  <c r="G112" i="11" s="1"/>
  <c r="C113" i="11" s="1"/>
  <c r="M107" i="11" l="1"/>
  <c r="N107" i="11" s="1"/>
  <c r="J108" i="11" s="1"/>
  <c r="E113" i="11"/>
  <c r="D113" i="11"/>
  <c r="F113" i="11" s="1"/>
  <c r="G113" i="11" s="1"/>
  <c r="C114" i="11" s="1"/>
  <c r="K108" i="11" l="1"/>
  <c r="L108" i="11"/>
  <c r="E114" i="11"/>
  <c r="D114" i="11"/>
  <c r="M108" i="11" l="1"/>
  <c r="N108" i="11" s="1"/>
  <c r="J109" i="11" s="1"/>
  <c r="K109" i="11" s="1"/>
  <c r="F114" i="11"/>
  <c r="G114" i="11" s="1"/>
  <c r="C115" i="11" s="1"/>
  <c r="L109" i="11" l="1"/>
  <c r="M109" i="11" s="1"/>
  <c r="N109" i="11" s="1"/>
  <c r="J110" i="11" s="1"/>
  <c r="E115" i="11"/>
  <c r="D115" i="11"/>
  <c r="K110" i="11" l="1"/>
  <c r="L110" i="11"/>
  <c r="F115" i="11"/>
  <c r="G115" i="11" s="1"/>
  <c r="C116" i="11" s="1"/>
  <c r="M110" i="11" l="1"/>
  <c r="N110" i="11" s="1"/>
  <c r="J111" i="11" s="1"/>
  <c r="D116" i="11"/>
  <c r="E116" i="11"/>
  <c r="K111" i="11" l="1"/>
  <c r="L111" i="11"/>
  <c r="F116" i="11"/>
  <c r="G116" i="11" s="1"/>
  <c r="C117" i="11" s="1"/>
  <c r="E117" i="11" s="1"/>
  <c r="D117" i="11"/>
  <c r="F117" i="11" s="1"/>
  <c r="G117" i="11" s="1"/>
  <c r="C118" i="11" s="1"/>
  <c r="M111" i="11" l="1"/>
  <c r="N111" i="11" s="1"/>
  <c r="J112" i="11" s="1"/>
  <c r="D118" i="11"/>
  <c r="E118" i="11"/>
  <c r="F118" i="11" s="1"/>
  <c r="G118" i="11" s="1"/>
  <c r="C119" i="11" s="1"/>
  <c r="L112" i="11" l="1"/>
  <c r="K112" i="11"/>
  <c r="E119" i="11"/>
  <c r="D119" i="11"/>
  <c r="M112" i="11" l="1"/>
  <c r="N112" i="11" s="1"/>
  <c r="J113" i="11" s="1"/>
  <c r="K113" i="11" s="1"/>
  <c r="F119" i="11"/>
  <c r="G119" i="11" s="1"/>
  <c r="C120" i="11" s="1"/>
  <c r="E120" i="11" s="1"/>
  <c r="L113" i="11" l="1"/>
  <c r="M113" i="11" s="1"/>
  <c r="N113" i="11" s="1"/>
  <c r="J114" i="11" s="1"/>
  <c r="D120" i="11"/>
  <c r="F120" i="11" s="1"/>
  <c r="G120" i="11" s="1"/>
  <c r="C121" i="11" s="1"/>
  <c r="K114" i="11" l="1"/>
  <c r="L114" i="11"/>
  <c r="E121" i="11"/>
  <c r="D121" i="11"/>
  <c r="F121" i="11" s="1"/>
  <c r="G121" i="11" s="1"/>
  <c r="C122" i="11" s="1"/>
  <c r="M114" i="11" l="1"/>
  <c r="N114" i="11" s="1"/>
  <c r="J115" i="11" s="1"/>
  <c r="D122" i="11"/>
  <c r="E122" i="11"/>
  <c r="L115" i="11" l="1"/>
  <c r="K115" i="11"/>
  <c r="M115" i="11" s="1"/>
  <c r="N115" i="11" s="1"/>
  <c r="J116" i="11" s="1"/>
  <c r="F122" i="11"/>
  <c r="G122" i="11" s="1"/>
  <c r="C123" i="11" s="1"/>
  <c r="K116" i="11" l="1"/>
  <c r="L116" i="11"/>
  <c r="E123" i="11"/>
  <c r="D123" i="11"/>
  <c r="M116" i="11" l="1"/>
  <c r="N116" i="11" s="1"/>
  <c r="J117" i="11" s="1"/>
  <c r="F123" i="11"/>
  <c r="G123" i="11" s="1"/>
  <c r="C124" i="11" s="1"/>
  <c r="L117" i="11" l="1"/>
  <c r="K117" i="11"/>
  <c r="M117" i="11" s="1"/>
  <c r="N117" i="11" s="1"/>
  <c r="J118" i="11" s="1"/>
  <c r="D124" i="11"/>
  <c r="E124" i="11"/>
  <c r="K118" i="11" l="1"/>
  <c r="L118" i="11"/>
  <c r="M118" i="11" s="1"/>
  <c r="N118" i="11" s="1"/>
  <c r="J119" i="11" s="1"/>
  <c r="F124" i="11"/>
  <c r="G124" i="11" s="1"/>
  <c r="C125" i="11" s="1"/>
  <c r="E125" i="11"/>
  <c r="D125" i="11"/>
  <c r="K119" i="11" l="1"/>
  <c r="L119" i="11"/>
  <c r="M119" i="11" s="1"/>
  <c r="N119" i="11" s="1"/>
  <c r="J120" i="11" s="1"/>
  <c r="F125" i="11"/>
  <c r="G125" i="11" s="1"/>
  <c r="C126" i="11" s="1"/>
  <c r="E126" i="11" s="1"/>
  <c r="D126" i="11"/>
  <c r="K120" i="11" l="1"/>
  <c r="L120" i="11"/>
  <c r="F126" i="11"/>
  <c r="G126" i="11" s="1"/>
  <c r="C127" i="11" s="1"/>
  <c r="D127" i="11" s="1"/>
  <c r="E127" i="11"/>
  <c r="M120" i="11" l="1"/>
  <c r="N120" i="11" s="1"/>
  <c r="J121" i="11" s="1"/>
  <c r="F127" i="11"/>
  <c r="G127" i="11" s="1"/>
  <c r="C128" i="11" s="1"/>
  <c r="E128" i="11"/>
  <c r="D128" i="11"/>
  <c r="F128" i="11" s="1"/>
  <c r="G128" i="11" s="1"/>
  <c r="C129" i="11" s="1"/>
  <c r="L121" i="11" l="1"/>
  <c r="K121" i="11"/>
  <c r="M121" i="11" s="1"/>
  <c r="N121" i="11" s="1"/>
  <c r="J122" i="11" s="1"/>
  <c r="L122" i="11" s="1"/>
  <c r="E129" i="11"/>
  <c r="D129" i="11"/>
  <c r="F129" i="11" s="1"/>
  <c r="G129" i="11" s="1"/>
  <c r="C130" i="11" s="1"/>
  <c r="K122" i="11" l="1"/>
  <c r="M122" i="11" s="1"/>
  <c r="N122" i="11" s="1"/>
  <c r="J123" i="11" s="1"/>
  <c r="L123" i="11" s="1"/>
  <c r="E130" i="11"/>
  <c r="D130" i="11"/>
  <c r="K123" i="11" l="1"/>
  <c r="M123" i="11" s="1"/>
  <c r="N123" i="11" s="1"/>
  <c r="J124" i="11" s="1"/>
  <c r="K124" i="11" s="1"/>
  <c r="F130" i="11"/>
  <c r="G130" i="11" s="1"/>
  <c r="C131" i="11" s="1"/>
  <c r="L124" i="11" l="1"/>
  <c r="M124" i="11" s="1"/>
  <c r="N124" i="11" s="1"/>
  <c r="J125" i="11" s="1"/>
  <c r="E131" i="11"/>
  <c r="D131" i="11"/>
  <c r="K125" i="11" l="1"/>
  <c r="L125" i="11"/>
  <c r="F131" i="11"/>
  <c r="G131" i="11" s="1"/>
  <c r="C132" i="11" s="1"/>
  <c r="D132" i="11"/>
  <c r="E132" i="11"/>
  <c r="M125" i="11" l="1"/>
  <c r="N125" i="11" s="1"/>
  <c r="J126" i="11" s="1"/>
  <c r="F132" i="11"/>
  <c r="G132" i="11" s="1"/>
  <c r="C133" i="11" s="1"/>
  <c r="K126" i="11" l="1"/>
  <c r="L126" i="11"/>
  <c r="E133" i="11"/>
  <c r="D133" i="11"/>
  <c r="F133" i="11" l="1"/>
  <c r="G133" i="11" s="1"/>
  <c r="C134" i="11" s="1"/>
  <c r="E134" i="11" s="1"/>
  <c r="M126" i="11"/>
  <c r="N126" i="11" s="1"/>
  <c r="J127" i="11" s="1"/>
  <c r="D134" i="11" l="1"/>
  <c r="F134" i="11" s="1"/>
  <c r="G134" i="11" s="1"/>
  <c r="C135" i="11" s="1"/>
  <c r="E135" i="11" s="1"/>
  <c r="K127" i="11"/>
  <c r="L127" i="11"/>
  <c r="D135" i="11" l="1"/>
  <c r="F135" i="11" s="1"/>
  <c r="G135" i="11" s="1"/>
  <c r="C136" i="11" s="1"/>
  <c r="E136" i="11" s="1"/>
  <c r="M127" i="11"/>
  <c r="N127" i="11" s="1"/>
  <c r="J128" i="11" s="1"/>
  <c r="D136" i="11" l="1"/>
  <c r="L128" i="11"/>
  <c r="K128" i="11"/>
  <c r="F136" i="11"/>
  <c r="G136" i="11" s="1"/>
  <c r="C137" i="11" s="1"/>
  <c r="E137" i="11" s="1"/>
  <c r="M128" i="11" l="1"/>
  <c r="N128" i="11" s="1"/>
  <c r="J129" i="11" s="1"/>
  <c r="L129" i="11" s="1"/>
  <c r="D137" i="11"/>
  <c r="F137" i="11" s="1"/>
  <c r="G137" i="11" s="1"/>
  <c r="C138" i="11" s="1"/>
  <c r="E138" i="11" s="1"/>
  <c r="K129" i="11" l="1"/>
  <c r="M129" i="11" s="1"/>
  <c r="N129" i="11" s="1"/>
  <c r="J130" i="11" s="1"/>
  <c r="L130" i="11" s="1"/>
  <c r="D138" i="11"/>
  <c r="F138" i="11" s="1"/>
  <c r="G138" i="11" s="1"/>
  <c r="C139" i="11" s="1"/>
  <c r="E139" i="11" s="1"/>
  <c r="K130" i="11" l="1"/>
  <c r="M130" i="11" s="1"/>
  <c r="N130" i="11" s="1"/>
  <c r="J131" i="11" s="1"/>
  <c r="L131" i="11" s="1"/>
  <c r="D139" i="11"/>
  <c r="F139" i="11" s="1"/>
  <c r="G139" i="11" s="1"/>
  <c r="C140" i="11" s="1"/>
  <c r="D140" i="11" s="1"/>
  <c r="K131" i="11" l="1"/>
  <c r="M131" i="11" s="1"/>
  <c r="N131" i="11" s="1"/>
  <c r="J132" i="11" s="1"/>
  <c r="L132" i="11" s="1"/>
  <c r="E140" i="11"/>
  <c r="F140" i="11" s="1"/>
  <c r="G140" i="11" s="1"/>
  <c r="C141" i="11" s="1"/>
  <c r="K132" i="11" l="1"/>
  <c r="M132" i="11" s="1"/>
  <c r="N132" i="11" s="1"/>
  <c r="J133" i="11" s="1"/>
  <c r="E141" i="11"/>
  <c r="D141" i="11"/>
  <c r="F141" i="11" s="1"/>
  <c r="G141" i="11" s="1"/>
  <c r="C142" i="11" s="1"/>
  <c r="D142" i="11" s="1"/>
  <c r="E142" i="11" l="1"/>
  <c r="F142" i="11" s="1"/>
  <c r="G142" i="11" s="1"/>
  <c r="C143" i="11" s="1"/>
  <c r="L133" i="11"/>
  <c r="K133" i="11"/>
  <c r="M133" i="11" s="1"/>
  <c r="N133" i="11" s="1"/>
  <c r="J134" i="11" s="1"/>
  <c r="E143" i="11" l="1"/>
  <c r="D143" i="11"/>
  <c r="F143" i="11" s="1"/>
  <c r="G143" i="11" s="1"/>
  <c r="C144" i="11" s="1"/>
  <c r="K134" i="11"/>
  <c r="L134" i="11"/>
  <c r="D144" i="11" l="1"/>
  <c r="E144" i="11"/>
  <c r="F144" i="11" s="1"/>
  <c r="G144" i="11" s="1"/>
  <c r="C145" i="11" s="1"/>
  <c r="M134" i="11"/>
  <c r="N134" i="11" s="1"/>
  <c r="J135" i="11" s="1"/>
  <c r="E145" i="11" l="1"/>
  <c r="D145" i="11"/>
  <c r="L135" i="11"/>
  <c r="K135" i="11"/>
  <c r="F145" i="11" l="1"/>
  <c r="G145" i="11" s="1"/>
  <c r="C146" i="11" s="1"/>
  <c r="E146" i="11"/>
  <c r="D146" i="11"/>
  <c r="F146" i="11" s="1"/>
  <c r="G146" i="11" s="1"/>
  <c r="C147" i="11" s="1"/>
  <c r="M135" i="11"/>
  <c r="N135" i="11" s="1"/>
  <c r="J136" i="11" s="1"/>
  <c r="L136" i="11" s="1"/>
  <c r="K136" i="11" l="1"/>
  <c r="M136" i="11" s="1"/>
  <c r="N136" i="11" s="1"/>
  <c r="J137" i="11" s="1"/>
  <c r="D147" i="11"/>
  <c r="E147" i="11"/>
  <c r="F147" i="11" s="1"/>
  <c r="G147" i="11" s="1"/>
  <c r="C148" i="11" s="1"/>
  <c r="K137" i="11" l="1"/>
  <c r="L137" i="11"/>
  <c r="D148" i="11"/>
  <c r="E148" i="11"/>
  <c r="M137" i="11" l="1"/>
  <c r="N137" i="11" s="1"/>
  <c r="J138" i="11" s="1"/>
  <c r="L138" i="11" s="1"/>
  <c r="K138" i="11"/>
  <c r="F148" i="11"/>
  <c r="G148" i="11" s="1"/>
  <c r="C149" i="11" s="1"/>
  <c r="D149" i="11"/>
  <c r="E149" i="11"/>
  <c r="M138" i="11" l="1"/>
  <c r="N138" i="11" s="1"/>
  <c r="J139" i="11" s="1"/>
  <c r="L139" i="11" s="1"/>
  <c r="F149" i="11"/>
  <c r="G149" i="11" s="1"/>
  <c r="C150" i="11" s="1"/>
  <c r="E150" i="11" s="1"/>
  <c r="D150" i="11"/>
  <c r="F150" i="11" s="1"/>
  <c r="G150" i="11" s="1"/>
  <c r="C151" i="11" s="1"/>
  <c r="E151" i="11" s="1"/>
  <c r="K139" i="11" l="1"/>
  <c r="M139" i="11" s="1"/>
  <c r="N139" i="11" s="1"/>
  <c r="J140" i="11" s="1"/>
  <c r="L140" i="11" s="1"/>
  <c r="D151" i="11"/>
  <c r="F151" i="11" s="1"/>
  <c r="G151" i="11" s="1"/>
  <c r="C152" i="11" s="1"/>
  <c r="K140" i="11" l="1"/>
  <c r="M140" i="11" s="1"/>
  <c r="N140" i="11" s="1"/>
  <c r="J141" i="11" s="1"/>
  <c r="K141" i="11" s="1"/>
  <c r="E152" i="11"/>
  <c r="D152" i="11"/>
  <c r="L141" i="11" l="1"/>
  <c r="M141" i="11" s="1"/>
  <c r="N141" i="11" s="1"/>
  <c r="J142" i="11" s="1"/>
  <c r="L142" i="11" s="1"/>
  <c r="F152" i="11"/>
  <c r="G152" i="11" s="1"/>
  <c r="C153" i="11" s="1"/>
  <c r="E153" i="11"/>
  <c r="D153" i="11"/>
  <c r="K142" i="11" l="1"/>
  <c r="M142" i="11" s="1"/>
  <c r="N142" i="11" s="1"/>
  <c r="J143" i="11" s="1"/>
  <c r="K143" i="11" s="1"/>
  <c r="F153" i="11"/>
  <c r="G153" i="11" s="1"/>
  <c r="C154" i="11" s="1"/>
  <c r="E154" i="11"/>
  <c r="D154" i="11"/>
  <c r="L143" i="11" l="1"/>
  <c r="M143" i="11" s="1"/>
  <c r="N143" i="11" s="1"/>
  <c r="J144" i="11" s="1"/>
  <c r="L144" i="11" s="1"/>
  <c r="F154" i="11"/>
  <c r="G154" i="11" s="1"/>
  <c r="C155" i="11" s="1"/>
  <c r="E155" i="11"/>
  <c r="D155" i="11"/>
  <c r="K144" i="11" l="1"/>
  <c r="M144" i="11" s="1"/>
  <c r="N144" i="11" s="1"/>
  <c r="J145" i="11" s="1"/>
  <c r="F155" i="11"/>
  <c r="G155" i="11" s="1"/>
  <c r="C156" i="11" s="1"/>
  <c r="D156" i="11" s="1"/>
  <c r="K145" i="11" l="1"/>
  <c r="L145" i="11"/>
  <c r="E156" i="11"/>
  <c r="F156" i="11" s="1"/>
  <c r="G156" i="11" s="1"/>
  <c r="C157" i="11" s="1"/>
  <c r="M145" i="11" l="1"/>
  <c r="N145" i="11" s="1"/>
  <c r="J146" i="11" s="1"/>
  <c r="L146" i="11" s="1"/>
  <c r="K146" i="11"/>
  <c r="E157" i="11"/>
  <c r="D157" i="11"/>
  <c r="M146" i="11" l="1"/>
  <c r="N146" i="11" s="1"/>
  <c r="J147" i="11" s="1"/>
  <c r="F157" i="11"/>
  <c r="G157" i="11" s="1"/>
  <c r="C158" i="11" s="1"/>
  <c r="L147" i="11" l="1"/>
  <c r="K147" i="11"/>
  <c r="E158" i="11"/>
  <c r="D158" i="11"/>
  <c r="F158" i="11" s="1"/>
  <c r="G158" i="11" s="1"/>
  <c r="C159" i="11" s="1"/>
  <c r="M147" i="11" l="1"/>
  <c r="N147" i="11" s="1"/>
  <c r="J148" i="11" s="1"/>
  <c r="L148" i="11" s="1"/>
  <c r="E159" i="11"/>
  <c r="D159" i="11"/>
  <c r="F159" i="11" s="1"/>
  <c r="G159" i="11" s="1"/>
  <c r="C160" i="11" s="1"/>
  <c r="K148" i="11" l="1"/>
  <c r="M148" i="11" s="1"/>
  <c r="N148" i="11" s="1"/>
  <c r="J149" i="11" s="1"/>
  <c r="E160" i="11"/>
  <c r="D160" i="11"/>
  <c r="L149" i="11" l="1"/>
  <c r="K149" i="11"/>
  <c r="F160" i="11"/>
  <c r="G160" i="11" s="1"/>
  <c r="C161" i="11" s="1"/>
  <c r="M149" i="11" l="1"/>
  <c r="N149" i="11" s="1"/>
  <c r="J150" i="11" s="1"/>
  <c r="E161" i="11"/>
  <c r="D161" i="11"/>
  <c r="F161" i="11" l="1"/>
  <c r="G161" i="11" s="1"/>
  <c r="C162" i="11" s="1"/>
  <c r="E162" i="11" s="1"/>
  <c r="K150" i="11"/>
  <c r="L150" i="11"/>
  <c r="D162" i="11" l="1"/>
  <c r="F162" i="11" s="1"/>
  <c r="G162" i="11" s="1"/>
  <c r="C163" i="11" s="1"/>
  <c r="M150" i="11"/>
  <c r="N150" i="11" s="1"/>
  <c r="J151" i="11" s="1"/>
  <c r="L151" i="11" l="1"/>
  <c r="K151" i="11"/>
  <c r="E163" i="11"/>
  <c r="D163" i="11"/>
  <c r="M151" i="11" l="1"/>
  <c r="N151" i="11" s="1"/>
  <c r="J152" i="11" s="1"/>
  <c r="L152" i="11" s="1"/>
  <c r="F163" i="11"/>
  <c r="G163" i="11" s="1"/>
  <c r="C164" i="11" s="1"/>
  <c r="K152" i="11" l="1"/>
  <c r="M152" i="11" s="1"/>
  <c r="N152" i="11" s="1"/>
  <c r="J153" i="11" s="1"/>
  <c r="K153" i="11" s="1"/>
  <c r="D164" i="11"/>
  <c r="E164" i="11"/>
  <c r="L153" i="11" l="1"/>
  <c r="M153" i="11" s="1"/>
  <c r="N153" i="11" s="1"/>
  <c r="J154" i="11" s="1"/>
  <c r="F164" i="11"/>
  <c r="G164" i="11" s="1"/>
  <c r="C165" i="11" s="1"/>
  <c r="L154" i="11" l="1"/>
  <c r="K154" i="11"/>
  <c r="E165" i="11"/>
  <c r="D165" i="11"/>
  <c r="M154" i="11" l="1"/>
  <c r="N154" i="11" s="1"/>
  <c r="J155" i="11" s="1"/>
  <c r="L155" i="11" s="1"/>
  <c r="F165" i="11"/>
  <c r="G165" i="11" s="1"/>
  <c r="C166" i="11" s="1"/>
  <c r="K155" i="11" l="1"/>
  <c r="M155" i="11" s="1"/>
  <c r="N155" i="11" s="1"/>
  <c r="J156" i="11" s="1"/>
  <c r="L156" i="11" s="1"/>
  <c r="E166" i="11"/>
  <c r="D166" i="11"/>
  <c r="K156" i="11" l="1"/>
  <c r="M156" i="11" s="1"/>
  <c r="N156" i="11" s="1"/>
  <c r="J157" i="11" s="1"/>
  <c r="L157" i="11" s="1"/>
  <c r="F166" i="11"/>
  <c r="G166" i="11" s="1"/>
  <c r="C167" i="11" s="1"/>
  <c r="E167" i="11" s="1"/>
  <c r="K157" i="11" l="1"/>
  <c r="M157" i="11" s="1"/>
  <c r="N157" i="11" s="1"/>
  <c r="J158" i="11" s="1"/>
  <c r="D167" i="11"/>
  <c r="F167" i="11" s="1"/>
  <c r="G167" i="11" s="1"/>
  <c r="C168" i="11" s="1"/>
  <c r="E168" i="11" l="1"/>
  <c r="D168" i="11"/>
  <c r="F168" i="11" s="1"/>
  <c r="G168" i="11" s="1"/>
  <c r="C169" i="11" s="1"/>
  <c r="K158" i="11"/>
  <c r="L158" i="11"/>
  <c r="M158" i="11" l="1"/>
  <c r="N158" i="11" s="1"/>
  <c r="J159" i="11" s="1"/>
  <c r="E169" i="11"/>
  <c r="D169" i="11"/>
  <c r="K159" i="11" l="1"/>
  <c r="L159" i="11"/>
  <c r="F169" i="11"/>
  <c r="G169" i="11" s="1"/>
  <c r="C170" i="11" s="1"/>
  <c r="E170" i="11" s="1"/>
  <c r="D170" i="11"/>
  <c r="M159" i="11" l="1"/>
  <c r="N159" i="11" s="1"/>
  <c r="J160" i="11" s="1"/>
  <c r="F170" i="11"/>
  <c r="G170" i="11" s="1"/>
  <c r="C171" i="11" s="1"/>
  <c r="L160" i="11" l="1"/>
  <c r="K160" i="11"/>
  <c r="M160" i="11" s="1"/>
  <c r="N160" i="11" s="1"/>
  <c r="J161" i="11" s="1"/>
  <c r="E171" i="11"/>
  <c r="D171" i="11"/>
  <c r="F171" i="11" s="1"/>
  <c r="G171" i="11" s="1"/>
  <c r="C172" i="11" s="1"/>
  <c r="K161" i="11" l="1"/>
  <c r="L161" i="11"/>
  <c r="D172" i="11"/>
  <c r="E172" i="11"/>
  <c r="M161" i="11" l="1"/>
  <c r="N161" i="11" s="1"/>
  <c r="J162" i="11" s="1"/>
  <c r="K162" i="11" s="1"/>
  <c r="F172" i="11"/>
  <c r="G172" i="11" s="1"/>
  <c r="C173" i="11" s="1"/>
  <c r="L162" i="11" l="1"/>
  <c r="M162" i="11" s="1"/>
  <c r="N162" i="11" s="1"/>
  <c r="J163" i="11" s="1"/>
  <c r="E173" i="11"/>
  <c r="D173" i="11"/>
  <c r="F173" i="11" l="1"/>
  <c r="G173" i="11" s="1"/>
  <c r="C174" i="11" s="1"/>
  <c r="K163" i="11"/>
  <c r="L163" i="11"/>
  <c r="E174" i="11"/>
  <c r="D174" i="11"/>
  <c r="F174" i="11" s="1"/>
  <c r="G174" i="11" s="1"/>
  <c r="C175" i="11" s="1"/>
  <c r="M163" i="11" l="1"/>
  <c r="N163" i="11" s="1"/>
  <c r="J164" i="11" s="1"/>
  <c r="E175" i="11"/>
  <c r="D175" i="11"/>
  <c r="L164" i="11" l="1"/>
  <c r="K164" i="11"/>
  <c r="F175" i="11"/>
  <c r="G175" i="11" s="1"/>
  <c r="C176" i="11" s="1"/>
  <c r="M164" i="11" l="1"/>
  <c r="N164" i="11" s="1"/>
  <c r="J165" i="11" s="1"/>
  <c r="L165" i="11" s="1"/>
  <c r="K165" i="11"/>
  <c r="E176" i="11"/>
  <c r="D176" i="11"/>
  <c r="M165" i="11" l="1"/>
  <c r="N165" i="11" s="1"/>
  <c r="J166" i="11" s="1"/>
  <c r="F176" i="11"/>
  <c r="G176" i="11" s="1"/>
  <c r="C177" i="11" s="1"/>
  <c r="L166" i="11" l="1"/>
  <c r="K166" i="11"/>
  <c r="D177" i="11"/>
  <c r="E177" i="11"/>
  <c r="M166" i="11" l="1"/>
  <c r="N166" i="11" s="1"/>
  <c r="J167" i="11" s="1"/>
  <c r="L167" i="11" s="1"/>
  <c r="F177" i="11"/>
  <c r="G177" i="11" s="1"/>
  <c r="C178" i="11" s="1"/>
  <c r="K167" i="11" l="1"/>
  <c r="M167" i="11" s="1"/>
  <c r="N167" i="11" s="1"/>
  <c r="J168" i="11" s="1"/>
  <c r="L168" i="11" s="1"/>
  <c r="D178" i="11"/>
  <c r="E178" i="11"/>
  <c r="K168" i="11" l="1"/>
  <c r="M168" i="11" s="1"/>
  <c r="N168" i="11" s="1"/>
  <c r="J169" i="11" s="1"/>
  <c r="K169" i="11" s="1"/>
  <c r="F178" i="11"/>
  <c r="G178" i="11" s="1"/>
  <c r="C179" i="11" s="1"/>
  <c r="L169" i="11" l="1"/>
  <c r="M169" i="11" s="1"/>
  <c r="N169" i="11" s="1"/>
  <c r="J170" i="11" s="1"/>
  <c r="E179" i="11"/>
  <c r="D179" i="11"/>
  <c r="F179" i="11" s="1"/>
  <c r="G179" i="11" s="1"/>
  <c r="C180" i="11" s="1"/>
  <c r="L170" i="11" l="1"/>
  <c r="K170" i="11"/>
  <c r="E180" i="11"/>
  <c r="D180" i="11"/>
  <c r="F180" i="11" s="1"/>
  <c r="G180" i="11" s="1"/>
  <c r="C181" i="11" s="1"/>
  <c r="M170" i="11" l="1"/>
  <c r="N170" i="11" s="1"/>
  <c r="J171" i="11" s="1"/>
  <c r="K171" i="11" s="1"/>
  <c r="E181" i="11"/>
  <c r="D181" i="11"/>
  <c r="L171" i="11" l="1"/>
  <c r="M171" i="11" s="1"/>
  <c r="N171" i="11" s="1"/>
  <c r="J172" i="11" s="1"/>
  <c r="F181" i="11"/>
  <c r="G181" i="11" s="1"/>
  <c r="C182" i="11" s="1"/>
  <c r="L172" i="11" l="1"/>
  <c r="K172" i="11"/>
  <c r="E182" i="11"/>
  <c r="D182" i="11"/>
  <c r="M172" i="11" l="1"/>
  <c r="N172" i="11" s="1"/>
  <c r="J173" i="11" s="1"/>
  <c r="L173" i="11" s="1"/>
  <c r="F182" i="11"/>
  <c r="G182" i="11" s="1"/>
  <c r="C183" i="11" s="1"/>
  <c r="D183" i="11" s="1"/>
  <c r="E183" i="11"/>
  <c r="K173" i="11" l="1"/>
  <c r="M173" i="11" s="1"/>
  <c r="N173" i="11" s="1"/>
  <c r="J174" i="11" s="1"/>
  <c r="K174" i="11" s="1"/>
  <c r="F183" i="11"/>
  <c r="G183" i="11" s="1"/>
  <c r="C184" i="11" s="1"/>
  <c r="L174" i="11" l="1"/>
  <c r="M174" i="11" s="1"/>
  <c r="N174" i="11" s="1"/>
  <c r="J175" i="11" s="1"/>
  <c r="E184" i="11"/>
  <c r="D184" i="11"/>
  <c r="K175" i="11" l="1"/>
  <c r="L175" i="11"/>
  <c r="F184" i="11"/>
  <c r="G184" i="11" s="1"/>
  <c r="C185" i="11" s="1"/>
  <c r="M175" i="11" l="1"/>
  <c r="N175" i="11" s="1"/>
  <c r="J176" i="11" s="1"/>
  <c r="K176" i="11" s="1"/>
  <c r="E185" i="11"/>
  <c r="D185" i="11"/>
  <c r="F185" i="11" s="1"/>
  <c r="G185" i="11" s="1"/>
  <c r="C186" i="11" s="1"/>
  <c r="L176" i="11" l="1"/>
  <c r="M176" i="11" s="1"/>
  <c r="N176" i="11" s="1"/>
  <c r="J177" i="11" s="1"/>
  <c r="L177" i="11" s="1"/>
  <c r="E186" i="11"/>
  <c r="D186" i="11"/>
  <c r="F186" i="11" s="1"/>
  <c r="G186" i="11" s="1"/>
  <c r="C187" i="11" s="1"/>
  <c r="K177" i="11" l="1"/>
  <c r="M177" i="11" s="1"/>
  <c r="N177" i="11" s="1"/>
  <c r="J178" i="11" s="1"/>
  <c r="K178" i="11" s="1"/>
  <c r="D187" i="11"/>
  <c r="E187" i="11"/>
  <c r="L178" i="11" l="1"/>
  <c r="M178" i="11" s="1"/>
  <c r="N178" i="11" s="1"/>
  <c r="J179" i="11" s="1"/>
  <c r="F187" i="11"/>
  <c r="G187" i="11" s="1"/>
  <c r="C188" i="11" s="1"/>
  <c r="E188" i="11" s="1"/>
  <c r="D188" i="11" l="1"/>
  <c r="L179" i="11"/>
  <c r="K179" i="11"/>
  <c r="F188" i="11"/>
  <c r="G188" i="11" s="1"/>
  <c r="C189" i="11" s="1"/>
  <c r="M179" i="11" l="1"/>
  <c r="N179" i="11" s="1"/>
  <c r="J180" i="11" s="1"/>
  <c r="K180" i="11" s="1"/>
  <c r="D189" i="11"/>
  <c r="E189" i="11"/>
  <c r="L180" i="11" l="1"/>
  <c r="M180" i="11" s="1"/>
  <c r="N180" i="11" s="1"/>
  <c r="J181" i="11" s="1"/>
  <c r="F189" i="11"/>
  <c r="G189" i="11" s="1"/>
  <c r="C190" i="11" s="1"/>
  <c r="K181" i="11" l="1"/>
  <c r="L181" i="11"/>
  <c r="E190" i="11"/>
  <c r="D190" i="11"/>
  <c r="M181" i="11" l="1"/>
  <c r="N181" i="11" s="1"/>
  <c r="J182" i="11" s="1"/>
  <c r="F190" i="11"/>
  <c r="G190" i="11" s="1"/>
  <c r="C191" i="11" s="1"/>
  <c r="K182" i="11" l="1"/>
  <c r="L182" i="11"/>
  <c r="D191" i="11"/>
  <c r="E191" i="11"/>
  <c r="M182" i="11" l="1"/>
  <c r="N182" i="11" s="1"/>
  <c r="J183" i="11" s="1"/>
  <c r="F191" i="11"/>
  <c r="G191" i="11" s="1"/>
  <c r="C192" i="11" s="1"/>
  <c r="L183" i="11" l="1"/>
  <c r="K183" i="11"/>
  <c r="E192" i="11"/>
  <c r="D192" i="11"/>
  <c r="M183" i="11" l="1"/>
  <c r="N183" i="11" s="1"/>
  <c r="J184" i="11" s="1"/>
  <c r="K184" i="11" s="1"/>
  <c r="F192" i="11"/>
  <c r="G192" i="11" s="1"/>
  <c r="C193" i="11" s="1"/>
  <c r="L184" i="11" l="1"/>
  <c r="M184" i="11" s="1"/>
  <c r="N184" i="11" s="1"/>
  <c r="J185" i="11" s="1"/>
  <c r="L185" i="11" s="1"/>
  <c r="E193" i="11"/>
  <c r="D193" i="11"/>
  <c r="F193" i="11" s="1"/>
  <c r="G193" i="11" s="1"/>
  <c r="C194" i="11" s="1"/>
  <c r="K185" i="11" l="1"/>
  <c r="M185" i="11" s="1"/>
  <c r="N185" i="11" s="1"/>
  <c r="J186" i="11" s="1"/>
  <c r="E194" i="11"/>
  <c r="D194" i="11"/>
  <c r="F194" i="11" l="1"/>
  <c r="G194" i="11" s="1"/>
  <c r="C195" i="11" s="1"/>
  <c r="D195" i="11" s="1"/>
  <c r="L186" i="11"/>
  <c r="K186" i="11"/>
  <c r="M186" i="11" l="1"/>
  <c r="N186" i="11" s="1"/>
  <c r="J187" i="11" s="1"/>
  <c r="L187" i="11" s="1"/>
  <c r="E195" i="11"/>
  <c r="F195" i="11"/>
  <c r="G195" i="11" s="1"/>
  <c r="C196" i="11" s="1"/>
  <c r="K187" i="11" l="1"/>
  <c r="M187" i="11" s="1"/>
  <c r="N187" i="11" s="1"/>
  <c r="J188" i="11" s="1"/>
  <c r="E196" i="11"/>
  <c r="D196" i="11"/>
  <c r="L188" i="11" l="1"/>
  <c r="K188" i="11"/>
  <c r="F196" i="11"/>
  <c r="G196" i="11" s="1"/>
  <c r="C197" i="11" s="1"/>
  <c r="E197" i="11" s="1"/>
  <c r="M188" i="11" l="1"/>
  <c r="N188" i="11" s="1"/>
  <c r="J189" i="11" s="1"/>
  <c r="L189" i="11" s="1"/>
  <c r="D197" i="11"/>
  <c r="F197" i="11" s="1"/>
  <c r="G197" i="11" s="1"/>
  <c r="C198" i="11" s="1"/>
  <c r="E198" i="11" s="1"/>
  <c r="K189" i="11" l="1"/>
  <c r="M189" i="11" s="1"/>
  <c r="N189" i="11" s="1"/>
  <c r="J190" i="11" s="1"/>
  <c r="K190" i="11" s="1"/>
  <c r="D198" i="11"/>
  <c r="F198" i="11" s="1"/>
  <c r="G198" i="11" s="1"/>
  <c r="C199" i="11" s="1"/>
  <c r="D199" i="11" s="1"/>
  <c r="L190" i="11" l="1"/>
  <c r="M190" i="11"/>
  <c r="N190" i="11" s="1"/>
  <c r="J191" i="11" s="1"/>
  <c r="E199" i="11"/>
  <c r="F199" i="11" s="1"/>
  <c r="G199" i="11" s="1"/>
  <c r="C200" i="11" s="1"/>
  <c r="L191" i="11" l="1"/>
  <c r="K191" i="11"/>
  <c r="D200" i="11"/>
  <c r="E200" i="11"/>
  <c r="M191" i="11" l="1"/>
  <c r="N191" i="11" s="1"/>
  <c r="J192" i="11" s="1"/>
  <c r="K192" i="11" s="1"/>
  <c r="F200" i="11"/>
  <c r="G200" i="11" s="1"/>
  <c r="C201" i="11" s="1"/>
  <c r="L192" i="11" l="1"/>
  <c r="M192" i="11" s="1"/>
  <c r="N192" i="11" s="1"/>
  <c r="J193" i="11" s="1"/>
  <c r="E201" i="11"/>
  <c r="D201" i="11"/>
  <c r="F201" i="11" s="1"/>
  <c r="G201" i="11" s="1"/>
  <c r="C202" i="11" s="1"/>
  <c r="K193" i="11" l="1"/>
  <c r="L193" i="11"/>
  <c r="E202" i="11"/>
  <c r="D202" i="11"/>
  <c r="F202" i="11" l="1"/>
  <c r="G202" i="11" s="1"/>
  <c r="C203" i="11" s="1"/>
  <c r="D203" i="11" s="1"/>
  <c r="M193" i="11"/>
  <c r="N193" i="11" s="1"/>
  <c r="J194" i="11" s="1"/>
  <c r="E203" i="11" l="1"/>
  <c r="F203" i="11" s="1"/>
  <c r="G203" i="11" s="1"/>
  <c r="C204" i="11" s="1"/>
  <c r="L194" i="11"/>
  <c r="K194" i="11"/>
  <c r="M194" i="11" s="1"/>
  <c r="N194" i="11" s="1"/>
  <c r="J195" i="11" s="1"/>
  <c r="L195" i="11" l="1"/>
  <c r="K195" i="11"/>
  <c r="E204" i="11"/>
  <c r="D204" i="11"/>
  <c r="F204" i="11" l="1"/>
  <c r="G204" i="11" s="1"/>
  <c r="C205" i="11" s="1"/>
  <c r="E205" i="11" s="1"/>
  <c r="M195" i="11"/>
  <c r="N195" i="11" s="1"/>
  <c r="J196" i="11" s="1"/>
  <c r="K196" i="11" s="1"/>
  <c r="D205" i="11" l="1"/>
  <c r="F205" i="11" s="1"/>
  <c r="G205" i="11" s="1"/>
  <c r="C206" i="11" s="1"/>
  <c r="D206" i="11" s="1"/>
  <c r="L196" i="11"/>
  <c r="M196" i="11" s="1"/>
  <c r="N196" i="11" s="1"/>
  <c r="J197" i="11" s="1"/>
  <c r="L197" i="11" s="1"/>
  <c r="E206" i="11"/>
  <c r="F206" i="11" s="1"/>
  <c r="G206" i="11" s="1"/>
  <c r="C207" i="11" s="1"/>
  <c r="K197" i="11" l="1"/>
  <c r="M197" i="11" s="1"/>
  <c r="N197" i="11" s="1"/>
  <c r="J198" i="11" s="1"/>
  <c r="L198" i="11" s="1"/>
  <c r="D207" i="11"/>
  <c r="E207" i="11"/>
  <c r="K198" i="11" l="1"/>
  <c r="M198" i="11" s="1"/>
  <c r="N198" i="11" s="1"/>
  <c r="J199" i="11" s="1"/>
  <c r="L199" i="11" s="1"/>
  <c r="F207" i="11"/>
  <c r="G207" i="11" s="1"/>
  <c r="C208" i="11" s="1"/>
  <c r="D208" i="11" s="1"/>
  <c r="E208" i="11" l="1"/>
  <c r="F208" i="11" s="1"/>
  <c r="G208" i="11" s="1"/>
  <c r="C209" i="11" s="1"/>
  <c r="K199" i="11"/>
  <c r="M199" i="11" s="1"/>
  <c r="N199" i="11" s="1"/>
  <c r="J200" i="11" s="1"/>
  <c r="L200" i="11" s="1"/>
  <c r="K200" i="11" l="1"/>
  <c r="M200" i="11" s="1"/>
  <c r="N200" i="11" s="1"/>
  <c r="J201" i="11" s="1"/>
  <c r="L201" i="11" s="1"/>
  <c r="E209" i="11"/>
  <c r="D209" i="11"/>
  <c r="K201" i="11" l="1"/>
  <c r="M201" i="11" s="1"/>
  <c r="N201" i="11" s="1"/>
  <c r="J202" i="11" s="1"/>
  <c r="L202" i="11" s="1"/>
  <c r="F209" i="11"/>
  <c r="G209" i="11" s="1"/>
  <c r="C210" i="11" s="1"/>
  <c r="K202" i="11" l="1"/>
  <c r="M202" i="11" s="1"/>
  <c r="N202" i="11" s="1"/>
  <c r="J203" i="11" s="1"/>
  <c r="L203" i="11" s="1"/>
  <c r="E210" i="11"/>
  <c r="D210" i="11"/>
  <c r="K203" i="11" l="1"/>
  <c r="M203" i="11" s="1"/>
  <c r="N203" i="11" s="1"/>
  <c r="J204" i="11" s="1"/>
  <c r="F210" i="11"/>
  <c r="G210" i="11" s="1"/>
  <c r="C211" i="11" s="1"/>
  <c r="K204" i="11" l="1"/>
  <c r="L204" i="11"/>
  <c r="D211" i="11"/>
  <c r="E211" i="11"/>
  <c r="M204" i="11" l="1"/>
  <c r="N204" i="11" s="1"/>
  <c r="J205" i="11" s="1"/>
  <c r="F211" i="11"/>
  <c r="G211" i="11" s="1"/>
  <c r="C212" i="11" s="1"/>
  <c r="K205" i="11" l="1"/>
  <c r="L205" i="11"/>
  <c r="E212" i="11"/>
  <c r="D212" i="11"/>
  <c r="F212" i="11" s="1"/>
  <c r="G212" i="11" s="1"/>
  <c r="C213" i="11" s="1"/>
  <c r="M205" i="11" l="1"/>
  <c r="N205" i="11" s="1"/>
  <c r="J206" i="11" s="1"/>
  <c r="D213" i="11"/>
  <c r="E213" i="11"/>
  <c r="L206" i="11" l="1"/>
  <c r="K206" i="11"/>
  <c r="F213" i="11"/>
  <c r="G213" i="11" s="1"/>
  <c r="C214" i="11" s="1"/>
  <c r="M206" i="11" l="1"/>
  <c r="N206" i="11" s="1"/>
  <c r="J207" i="11" s="1"/>
  <c r="E214" i="11"/>
  <c r="D214" i="11"/>
  <c r="F214" i="11" s="1"/>
  <c r="G214" i="11" s="1"/>
  <c r="C215" i="11" s="1"/>
  <c r="L207" i="11" l="1"/>
  <c r="K207" i="11"/>
  <c r="D215" i="11"/>
  <c r="E215" i="11"/>
  <c r="M207" i="11" l="1"/>
  <c r="N207" i="11" s="1"/>
  <c r="J208" i="11" s="1"/>
  <c r="L208" i="11" s="1"/>
  <c r="K208" i="11"/>
  <c r="F215" i="11"/>
  <c r="G215" i="11" s="1"/>
  <c r="C216" i="11" s="1"/>
  <c r="M208" i="11" l="1"/>
  <c r="N208" i="11" s="1"/>
  <c r="J209" i="11" s="1"/>
  <c r="L209" i="11" s="1"/>
  <c r="D216" i="11"/>
  <c r="E216" i="11"/>
  <c r="K209" i="11" l="1"/>
  <c r="M209" i="11" s="1"/>
  <c r="N209" i="11" s="1"/>
  <c r="J210" i="11" s="1"/>
  <c r="F216" i="11"/>
  <c r="G216" i="11" s="1"/>
  <c r="C217" i="11" s="1"/>
  <c r="K210" i="11" l="1"/>
  <c r="L210" i="11"/>
  <c r="D217" i="11"/>
  <c r="E217" i="11"/>
  <c r="M210" i="11" l="1"/>
  <c r="N210" i="11" s="1"/>
  <c r="J211" i="11" s="1"/>
  <c r="F217" i="11"/>
  <c r="G217" i="11" s="1"/>
  <c r="C218" i="11" s="1"/>
  <c r="K211" i="11" l="1"/>
  <c r="L211" i="11"/>
  <c r="E218" i="11"/>
  <c r="D218" i="11"/>
  <c r="F218" i="11" l="1"/>
  <c r="G218" i="11" s="1"/>
  <c r="C219" i="11" s="1"/>
  <c r="M211" i="11"/>
  <c r="N211" i="11" s="1"/>
  <c r="J212" i="11" s="1"/>
  <c r="D219" i="11"/>
  <c r="E219" i="11"/>
  <c r="K212" i="11" l="1"/>
  <c r="L212" i="11"/>
  <c r="F219" i="11"/>
  <c r="G219" i="11" s="1"/>
  <c r="C220" i="11" s="1"/>
  <c r="E220" i="11" s="1"/>
  <c r="M212" i="11" l="1"/>
  <c r="N212" i="11" s="1"/>
  <c r="J213" i="11" s="1"/>
  <c r="D220" i="11"/>
  <c r="F220" i="11" s="1"/>
  <c r="G220" i="11" s="1"/>
  <c r="C221" i="11" s="1"/>
  <c r="E221" i="11" s="1"/>
  <c r="D221" i="11" l="1"/>
  <c r="F221" i="11" s="1"/>
  <c r="G221" i="11" s="1"/>
  <c r="C222" i="11" s="1"/>
  <c r="E222" i="11" s="1"/>
  <c r="K213" i="11"/>
  <c r="L213" i="11"/>
  <c r="D222" i="11" l="1"/>
  <c r="F222" i="11" s="1"/>
  <c r="G222" i="11" s="1"/>
  <c r="C223" i="11" s="1"/>
  <c r="M213" i="11"/>
  <c r="N213" i="11" s="1"/>
  <c r="J214" i="11" s="1"/>
  <c r="E223" i="11" l="1"/>
  <c r="D223" i="11"/>
  <c r="F223" i="11" s="1"/>
  <c r="G223" i="11" s="1"/>
  <c r="C224" i="11" s="1"/>
  <c r="L214" i="11"/>
  <c r="K214" i="11"/>
  <c r="M214" i="11" s="1"/>
  <c r="N214" i="11" s="1"/>
  <c r="J215" i="11" s="1"/>
  <c r="L215" i="11" l="1"/>
  <c r="K215" i="11"/>
  <c r="E224" i="11"/>
  <c r="D224" i="11"/>
  <c r="M215" i="11" l="1"/>
  <c r="N215" i="11" s="1"/>
  <c r="J216" i="11" s="1"/>
  <c r="L216" i="11" s="1"/>
  <c r="F224" i="11"/>
  <c r="G224" i="11" s="1"/>
  <c r="C225" i="11" s="1"/>
  <c r="K216" i="11" l="1"/>
  <c r="M216" i="11" s="1"/>
  <c r="N216" i="11" s="1"/>
  <c r="J217" i="11" s="1"/>
  <c r="E225" i="11"/>
  <c r="D225" i="11"/>
  <c r="L217" i="11" l="1"/>
  <c r="K217" i="11"/>
  <c r="F225" i="11"/>
  <c r="G225" i="11" s="1"/>
  <c r="C226" i="11" s="1"/>
  <c r="E226" i="11" s="1"/>
  <c r="M217" i="11" l="1"/>
  <c r="N217" i="11" s="1"/>
  <c r="J218" i="11" s="1"/>
  <c r="K218" i="11" s="1"/>
  <c r="D226" i="11"/>
  <c r="F226" i="11" s="1"/>
  <c r="G226" i="11" s="1"/>
  <c r="C227" i="11" s="1"/>
  <c r="L218" i="11" l="1"/>
  <c r="M218" i="11" s="1"/>
  <c r="N218" i="11" s="1"/>
  <c r="J219" i="11" s="1"/>
  <c r="D227" i="11"/>
  <c r="E227" i="11"/>
  <c r="L219" i="11" l="1"/>
  <c r="K219" i="11"/>
  <c r="F227" i="11"/>
  <c r="G227" i="11" s="1"/>
  <c r="C228" i="11" s="1"/>
  <c r="M219" i="11" l="1"/>
  <c r="N219" i="11" s="1"/>
  <c r="J220" i="11" s="1"/>
  <c r="L220" i="11" s="1"/>
  <c r="E228" i="11"/>
  <c r="D228" i="11"/>
  <c r="F228" i="11" s="1"/>
  <c r="G228" i="11" s="1"/>
  <c r="C229" i="11" s="1"/>
  <c r="K220" i="11" l="1"/>
  <c r="M220" i="11" s="1"/>
  <c r="N220" i="11" s="1"/>
  <c r="J221" i="11" s="1"/>
  <c r="E229" i="11"/>
  <c r="D229" i="11"/>
  <c r="K221" i="11" l="1"/>
  <c r="L221" i="11"/>
  <c r="F229" i="11"/>
  <c r="G229" i="11" s="1"/>
  <c r="C230" i="11" s="1"/>
  <c r="E230" i="11" s="1"/>
  <c r="D230" i="11"/>
  <c r="M221" i="11" l="1"/>
  <c r="N221" i="11" s="1"/>
  <c r="J222" i="11" s="1"/>
  <c r="F230" i="11"/>
  <c r="G230" i="11" s="1"/>
  <c r="C231" i="11" s="1"/>
  <c r="E231" i="11" s="1"/>
  <c r="D231" i="11"/>
  <c r="K222" i="11" l="1"/>
  <c r="L222" i="11"/>
  <c r="F231" i="11"/>
  <c r="G231" i="11" s="1"/>
  <c r="C232" i="11" s="1"/>
  <c r="E232" i="11" s="1"/>
  <c r="M222" i="11" l="1"/>
  <c r="N222" i="11" s="1"/>
  <c r="J223" i="11" s="1"/>
  <c r="D232" i="11"/>
  <c r="F232" i="11" s="1"/>
  <c r="G232" i="11" s="1"/>
  <c r="C233" i="11" s="1"/>
  <c r="L223" i="11" l="1"/>
  <c r="K223" i="11"/>
  <c r="M223" i="11" s="1"/>
  <c r="N223" i="11" s="1"/>
  <c r="J224" i="11" s="1"/>
  <c r="D233" i="11"/>
  <c r="E233" i="11"/>
  <c r="L224" i="11" l="1"/>
  <c r="K224" i="11"/>
  <c r="F233" i="11"/>
  <c r="G233" i="11" s="1"/>
  <c r="C234" i="11" s="1"/>
  <c r="M224" i="11" l="1"/>
  <c r="N224" i="11" s="1"/>
  <c r="J225" i="11" s="1"/>
  <c r="K225" i="11" s="1"/>
  <c r="E234" i="11"/>
  <c r="D234" i="11"/>
  <c r="L225" i="11" l="1"/>
  <c r="M225" i="11" s="1"/>
  <c r="N225" i="11" s="1"/>
  <c r="J226" i="11" s="1"/>
  <c r="F234" i="11"/>
  <c r="G234" i="11" s="1"/>
  <c r="C235" i="11" s="1"/>
  <c r="L226" i="11" l="1"/>
  <c r="K226" i="11"/>
  <c r="E235" i="11"/>
  <c r="D235" i="11"/>
  <c r="F235" i="11" l="1"/>
  <c r="G235" i="11" s="1"/>
  <c r="C236" i="11" s="1"/>
  <c r="M226" i="11"/>
  <c r="N226" i="11" s="1"/>
  <c r="J227" i="11" s="1"/>
  <c r="L227" i="11" s="1"/>
  <c r="D236" i="11"/>
  <c r="E236" i="11"/>
  <c r="K227" i="11" l="1"/>
  <c r="M227" i="11" s="1"/>
  <c r="N227" i="11" s="1"/>
  <c r="J228" i="11" s="1"/>
  <c r="L228" i="11" s="1"/>
  <c r="F236" i="11"/>
  <c r="G236" i="11" s="1"/>
  <c r="C237" i="11" s="1"/>
  <c r="K228" i="11" l="1"/>
  <c r="M228" i="11" s="1"/>
  <c r="N228" i="11" s="1"/>
  <c r="J229" i="11" s="1"/>
  <c r="D237" i="11"/>
  <c r="E237" i="11"/>
  <c r="F237" i="11" l="1"/>
  <c r="G237" i="11" s="1"/>
  <c r="C238" i="11" s="1"/>
  <c r="D238" i="11" s="1"/>
  <c r="K229" i="11"/>
  <c r="L229" i="11"/>
  <c r="E238" i="11" l="1"/>
  <c r="M229" i="11"/>
  <c r="N229" i="11" s="1"/>
  <c r="J230" i="11" s="1"/>
  <c r="F238" i="11"/>
  <c r="G238" i="11" s="1"/>
  <c r="C239" i="11" s="1"/>
  <c r="K230" i="11" l="1"/>
  <c r="L230" i="11"/>
  <c r="E239" i="11"/>
  <c r="D239" i="11"/>
  <c r="F239" i="11" l="1"/>
  <c r="G239" i="11" s="1"/>
  <c r="C240" i="11" s="1"/>
  <c r="E240" i="11" s="1"/>
  <c r="M230" i="11"/>
  <c r="N230" i="11" s="1"/>
  <c r="J231" i="11" s="1"/>
  <c r="D240" i="11" l="1"/>
  <c r="F240" i="11" s="1"/>
  <c r="G240" i="11" s="1"/>
  <c r="C241" i="11" s="1"/>
  <c r="L231" i="11"/>
  <c r="K231" i="11"/>
  <c r="M231" i="11" l="1"/>
  <c r="N231" i="11" s="1"/>
  <c r="J232" i="11" s="1"/>
  <c r="K232" i="11" s="1"/>
  <c r="E241" i="11"/>
  <c r="D241" i="11"/>
  <c r="L232" i="11" l="1"/>
  <c r="M232" i="11" s="1"/>
  <c r="N232" i="11" s="1"/>
  <c r="J233" i="11" s="1"/>
  <c r="F241" i="11"/>
  <c r="G241" i="11" s="1"/>
  <c r="C242" i="11" s="1"/>
  <c r="E242" i="11" s="1"/>
  <c r="D242" i="11" l="1"/>
  <c r="F242" i="11" s="1"/>
  <c r="G242" i="11" s="1"/>
  <c r="C243" i="11" s="1"/>
  <c r="E243" i="11" s="1"/>
  <c r="L233" i="11"/>
  <c r="K233" i="11"/>
  <c r="D243" i="11" l="1"/>
  <c r="M233" i="11"/>
  <c r="N233" i="11" s="1"/>
  <c r="J234" i="11" s="1"/>
  <c r="L234" i="11" s="1"/>
  <c r="F243" i="11"/>
  <c r="G243" i="11" s="1"/>
  <c r="C244" i="11" s="1"/>
  <c r="K234" i="11" l="1"/>
  <c r="M234" i="11" s="1"/>
  <c r="N234" i="11" s="1"/>
  <c r="J235" i="11" s="1"/>
  <c r="K235" i="11" s="1"/>
  <c r="D244" i="11"/>
  <c r="E244" i="11"/>
  <c r="L235" i="11" l="1"/>
  <c r="M235" i="11" s="1"/>
  <c r="N235" i="11" s="1"/>
  <c r="J236" i="11" s="1"/>
  <c r="F244" i="11"/>
  <c r="G244" i="11" s="1"/>
  <c r="C245" i="11" s="1"/>
  <c r="K236" i="11" l="1"/>
  <c r="L236" i="11"/>
  <c r="E245" i="11"/>
  <c r="D245" i="11"/>
  <c r="M236" i="11" l="1"/>
  <c r="N236" i="11" s="1"/>
  <c r="J237" i="11" s="1"/>
  <c r="K237" i="11" s="1"/>
  <c r="F245" i="11"/>
  <c r="G245" i="11" s="1"/>
  <c r="C246" i="11" s="1"/>
  <c r="L237" i="11" l="1"/>
  <c r="M237" i="11" s="1"/>
  <c r="N237" i="11" s="1"/>
  <c r="J238" i="11" s="1"/>
  <c r="D246" i="11"/>
  <c r="E246" i="11"/>
  <c r="K238" i="11" l="1"/>
  <c r="L238" i="11"/>
  <c r="F246" i="11"/>
  <c r="G246" i="11" s="1"/>
  <c r="C247" i="11" s="1"/>
  <c r="E247" i="11" s="1"/>
  <c r="D247" i="11"/>
  <c r="M238" i="11" l="1"/>
  <c r="N238" i="11" s="1"/>
  <c r="J239" i="11" s="1"/>
  <c r="F247" i="11"/>
  <c r="G247" i="11" s="1"/>
  <c r="C248" i="11" s="1"/>
  <c r="K239" i="11" l="1"/>
  <c r="L239" i="11"/>
  <c r="D248" i="11"/>
  <c r="E248" i="11"/>
  <c r="F248" i="11" l="1"/>
  <c r="G248" i="11" s="1"/>
  <c r="C249" i="11" s="1"/>
  <c r="M239" i="11"/>
  <c r="N239" i="11" s="1"/>
  <c r="J240" i="11" s="1"/>
  <c r="E249" i="11"/>
  <c r="D249" i="11"/>
  <c r="F249" i="11" l="1"/>
  <c r="G249" i="11" s="1"/>
  <c r="C250" i="11" s="1"/>
  <c r="D250" i="11" s="1"/>
  <c r="K240" i="11"/>
  <c r="L240" i="11"/>
  <c r="E250" i="11" l="1"/>
  <c r="F250" i="11" s="1"/>
  <c r="G250" i="11" s="1"/>
  <c r="C251" i="11" s="1"/>
  <c r="M240" i="11"/>
  <c r="N240" i="11" s="1"/>
  <c r="J241" i="11" s="1"/>
  <c r="D251" i="11" l="1"/>
  <c r="E251" i="11"/>
  <c r="K241" i="11"/>
  <c r="L241" i="11"/>
  <c r="F251" i="11" l="1"/>
  <c r="G251" i="11" s="1"/>
  <c r="C252" i="11" s="1"/>
  <c r="E252" i="11" s="1"/>
  <c r="D252" i="11"/>
  <c r="M241" i="11"/>
  <c r="N241" i="11" s="1"/>
  <c r="J242" i="11" s="1"/>
  <c r="F252" i="11" l="1"/>
  <c r="G252" i="11" s="1"/>
  <c r="C253" i="11" s="1"/>
  <c r="D253" i="11" s="1"/>
  <c r="E253" i="11"/>
  <c r="F253" i="11" s="1"/>
  <c r="G253" i="11" s="1"/>
  <c r="C254" i="11" s="1"/>
  <c r="L242" i="11"/>
  <c r="K242" i="11"/>
  <c r="M242" i="11" s="1"/>
  <c r="N242" i="11" s="1"/>
  <c r="J243" i="11" s="1"/>
  <c r="L243" i="11" l="1"/>
  <c r="K243" i="11"/>
  <c r="D254" i="11"/>
  <c r="E254" i="11"/>
  <c r="M243" i="11" l="1"/>
  <c r="N243" i="11" s="1"/>
  <c r="J244" i="11" s="1"/>
  <c r="L244" i="11" s="1"/>
  <c r="F254" i="11"/>
  <c r="G254" i="11" s="1"/>
  <c r="C255" i="11" s="1"/>
  <c r="K244" i="11" l="1"/>
  <c r="M244" i="11" s="1"/>
  <c r="N244" i="11" s="1"/>
  <c r="J245" i="11" s="1"/>
  <c r="E255" i="11"/>
  <c r="D255" i="11"/>
  <c r="L245" i="11" l="1"/>
  <c r="K245" i="11"/>
  <c r="F255" i="11"/>
  <c r="G255" i="11" s="1"/>
  <c r="C256" i="11" s="1"/>
  <c r="D256" i="11" s="1"/>
  <c r="E256" i="11" l="1"/>
  <c r="M245" i="11"/>
  <c r="N245" i="11" s="1"/>
  <c r="J246" i="11" s="1"/>
  <c r="L246" i="11" s="1"/>
  <c r="F256" i="11"/>
  <c r="G256" i="11" s="1"/>
  <c r="C257" i="11" s="1"/>
  <c r="E257" i="11" s="1"/>
  <c r="K246" i="11" l="1"/>
  <c r="M246" i="11" s="1"/>
  <c r="N246" i="11" s="1"/>
  <c r="J247" i="11" s="1"/>
  <c r="L247" i="11" s="1"/>
  <c r="D257" i="11"/>
  <c r="F257" i="11"/>
  <c r="G257" i="11" s="1"/>
  <c r="C258" i="11" s="1"/>
  <c r="D258" i="11" s="1"/>
  <c r="K247" i="11" l="1"/>
  <c r="M247" i="11" s="1"/>
  <c r="N247" i="11" s="1"/>
  <c r="J248" i="11" s="1"/>
  <c r="K248" i="11" s="1"/>
  <c r="E258" i="11"/>
  <c r="F258" i="11" s="1"/>
  <c r="G258" i="11" s="1"/>
  <c r="C259" i="11" s="1"/>
  <c r="L248" i="11" l="1"/>
  <c r="M248" i="11" s="1"/>
  <c r="N248" i="11" s="1"/>
  <c r="J249" i="11" s="1"/>
  <c r="D259" i="11"/>
  <c r="E259" i="11"/>
  <c r="F259" i="11" l="1"/>
  <c r="G259" i="11" s="1"/>
  <c r="C260" i="11" s="1"/>
  <c r="D260" i="11"/>
  <c r="E260" i="11"/>
  <c r="K249" i="11"/>
  <c r="L249" i="11"/>
  <c r="F260" i="11" l="1"/>
  <c r="G260" i="11" s="1"/>
  <c r="C261" i="11" s="1"/>
  <c r="E261" i="11"/>
  <c r="D261" i="11"/>
  <c r="M249" i="11"/>
  <c r="N249" i="11" s="1"/>
  <c r="J250" i="11" s="1"/>
  <c r="F261" i="11" l="1"/>
  <c r="G261" i="11" s="1"/>
  <c r="C262" i="11" s="1"/>
  <c r="E262" i="11"/>
  <c r="D262" i="11"/>
  <c r="L250" i="11"/>
  <c r="K250" i="11"/>
  <c r="M250" i="11" l="1"/>
  <c r="N250" i="11" s="1"/>
  <c r="J251" i="11" s="1"/>
  <c r="L251" i="11" s="1"/>
  <c r="F262" i="11"/>
  <c r="G262" i="11" s="1"/>
  <c r="C263" i="11" s="1"/>
  <c r="K251" i="11" l="1"/>
  <c r="M251" i="11" s="1"/>
  <c r="N251" i="11" s="1"/>
  <c r="J252" i="11" s="1"/>
  <c r="K252" i="11" s="1"/>
  <c r="E263" i="11"/>
  <c r="D263" i="11"/>
  <c r="L252" i="11" l="1"/>
  <c r="M252" i="11" s="1"/>
  <c r="N252" i="11" s="1"/>
  <c r="J253" i="11" s="1"/>
  <c r="F263" i="11"/>
  <c r="G263" i="11" s="1"/>
  <c r="C264" i="11" s="1"/>
  <c r="E264" i="11" l="1"/>
  <c r="D264" i="11"/>
  <c r="F264" i="11" s="1"/>
  <c r="G264" i="11" s="1"/>
  <c r="C265" i="11" s="1"/>
  <c r="L253" i="11"/>
  <c r="K253" i="11"/>
  <c r="M253" i="11" s="1"/>
  <c r="N253" i="11" s="1"/>
  <c r="J254" i="11" s="1"/>
  <c r="D265" i="11" l="1"/>
  <c r="E265" i="11"/>
  <c r="K254" i="11"/>
  <c r="L254" i="11"/>
  <c r="F265" i="11" l="1"/>
  <c r="G265" i="11" s="1"/>
  <c r="C266" i="11" s="1"/>
  <c r="M254" i="11"/>
  <c r="N254" i="11" s="1"/>
  <c r="J255" i="11" s="1"/>
  <c r="E266" i="11" l="1"/>
  <c r="D266" i="11"/>
  <c r="L255" i="11"/>
  <c r="K255" i="11"/>
  <c r="M255" i="11" l="1"/>
  <c r="N255" i="11" s="1"/>
  <c r="J256" i="11" s="1"/>
  <c r="K256" i="11" s="1"/>
  <c r="F266" i="11"/>
  <c r="G266" i="11" s="1"/>
  <c r="C267" i="11" s="1"/>
  <c r="L256" i="11" l="1"/>
  <c r="M256" i="11" s="1"/>
  <c r="N256" i="11" s="1"/>
  <c r="J257" i="11" s="1"/>
  <c r="E267" i="11"/>
  <c r="D267" i="11"/>
  <c r="F267" i="11" s="1"/>
  <c r="G267" i="11" s="1"/>
  <c r="C268" i="11" s="1"/>
  <c r="E268" i="11" l="1"/>
  <c r="D268" i="11"/>
  <c r="F268" i="11" s="1"/>
  <c r="G268" i="11" s="1"/>
  <c r="C269" i="11" s="1"/>
  <c r="D269" i="11" s="1"/>
  <c r="K257" i="11"/>
  <c r="L257" i="11"/>
  <c r="E269" i="11" l="1"/>
  <c r="F269" i="11" s="1"/>
  <c r="G269" i="11" s="1"/>
  <c r="C270" i="11" s="1"/>
  <c r="M257" i="11"/>
  <c r="N257" i="11" s="1"/>
  <c r="J258" i="11" s="1"/>
  <c r="D270" i="11" l="1"/>
  <c r="E270" i="11"/>
  <c r="L258" i="11"/>
  <c r="K258" i="11"/>
  <c r="M258" i="11" s="1"/>
  <c r="N258" i="11" s="1"/>
  <c r="J259" i="11" s="1"/>
  <c r="F270" i="11" l="1"/>
  <c r="G270" i="11" s="1"/>
  <c r="C271" i="11" s="1"/>
  <c r="L259" i="11"/>
  <c r="K259" i="11"/>
  <c r="D271" i="11"/>
  <c r="E271" i="11"/>
  <c r="M259" i="11" l="1"/>
  <c r="N259" i="11" s="1"/>
  <c r="J260" i="11" s="1"/>
  <c r="L260" i="11" s="1"/>
  <c r="F271" i="11"/>
  <c r="G271" i="11" s="1"/>
  <c r="C272" i="11" s="1"/>
  <c r="E272" i="11" s="1"/>
  <c r="K260" i="11" l="1"/>
  <c r="M260" i="11" s="1"/>
  <c r="N260" i="11" s="1"/>
  <c r="J261" i="11" s="1"/>
  <c r="L261" i="11" s="1"/>
  <c r="D272" i="11"/>
  <c r="F272" i="11"/>
  <c r="G272" i="11" s="1"/>
  <c r="C273" i="11" s="1"/>
  <c r="K261" i="11" l="1"/>
  <c r="M261" i="11" s="1"/>
  <c r="N261" i="11" s="1"/>
  <c r="J262" i="11" s="1"/>
  <c r="D273" i="11"/>
  <c r="E273" i="11"/>
  <c r="K262" i="11" l="1"/>
  <c r="L262" i="11"/>
  <c r="F273" i="11"/>
  <c r="G273" i="11" s="1"/>
  <c r="C274" i="11" s="1"/>
  <c r="E274" i="11"/>
  <c r="D274" i="11"/>
  <c r="M262" i="11" l="1"/>
  <c r="N262" i="11" s="1"/>
  <c r="J263" i="11" s="1"/>
  <c r="K263" i="11"/>
  <c r="L263" i="11"/>
  <c r="F274" i="11"/>
  <c r="G274" i="11" s="1"/>
  <c r="C275" i="11" s="1"/>
  <c r="E275" i="11" s="1"/>
  <c r="M263" i="11" l="1"/>
  <c r="N263" i="11" s="1"/>
  <c r="J264" i="11" s="1"/>
  <c r="D275" i="11"/>
  <c r="F275" i="11" s="1"/>
  <c r="G275" i="11" s="1"/>
  <c r="C276" i="11" s="1"/>
  <c r="K264" i="11" l="1"/>
  <c r="L264" i="11"/>
  <c r="E276" i="11"/>
  <c r="D276" i="11"/>
  <c r="F276" i="11" s="1"/>
  <c r="G276" i="11" s="1"/>
  <c r="C277" i="11" s="1"/>
  <c r="M264" i="11" l="1"/>
  <c r="N264" i="11" s="1"/>
  <c r="J265" i="11" s="1"/>
  <c r="D277" i="11"/>
  <c r="E277" i="11"/>
  <c r="L265" i="11" l="1"/>
  <c r="K265" i="11"/>
  <c r="F277" i="11"/>
  <c r="G277" i="11" s="1"/>
  <c r="C278" i="11" s="1"/>
  <c r="M265" i="11" l="1"/>
  <c r="N265" i="11" s="1"/>
  <c r="J266" i="11" s="1"/>
  <c r="L266" i="11" s="1"/>
  <c r="D278" i="11"/>
  <c r="E278" i="11"/>
  <c r="K266" i="11" l="1"/>
  <c r="M266" i="11" s="1"/>
  <c r="N266" i="11" s="1"/>
  <c r="J267" i="11" s="1"/>
  <c r="K267" i="11" s="1"/>
  <c r="F278" i="11"/>
  <c r="G278" i="11" s="1"/>
  <c r="C279" i="11" s="1"/>
  <c r="E279" i="11"/>
  <c r="D279" i="11"/>
  <c r="F279" i="11" s="1"/>
  <c r="G279" i="11" s="1"/>
  <c r="C280" i="11" s="1"/>
  <c r="L267" i="11" l="1"/>
  <c r="M267" i="11" s="1"/>
  <c r="N267" i="11" s="1"/>
  <c r="J268" i="11" s="1"/>
  <c r="E280" i="11"/>
  <c r="D280" i="11"/>
  <c r="F280" i="11" l="1"/>
  <c r="G280" i="11" s="1"/>
  <c r="C281" i="11" s="1"/>
  <c r="K268" i="11"/>
  <c r="L268" i="11"/>
  <c r="D281" i="11"/>
  <c r="E281" i="11"/>
  <c r="M268" i="11" l="1"/>
  <c r="N268" i="11" s="1"/>
  <c r="J269" i="11" s="1"/>
  <c r="F281" i="11"/>
  <c r="G281" i="11" s="1"/>
  <c r="C282" i="11" s="1"/>
  <c r="K269" i="11" l="1"/>
  <c r="L269" i="11"/>
  <c r="D282" i="11"/>
  <c r="E282" i="11"/>
  <c r="M269" i="11" l="1"/>
  <c r="N269" i="11" s="1"/>
  <c r="J270" i="11" s="1"/>
  <c r="F282" i="11"/>
  <c r="G282" i="11" s="1"/>
  <c r="C283" i="11" s="1"/>
  <c r="L270" i="11" l="1"/>
  <c r="K270" i="11"/>
  <c r="E283" i="11"/>
  <c r="D283" i="11"/>
  <c r="M270" i="11" l="1"/>
  <c r="N270" i="11" s="1"/>
  <c r="J271" i="11" s="1"/>
  <c r="K271" i="11" s="1"/>
  <c r="F283" i="11"/>
  <c r="G283" i="11" s="1"/>
  <c r="C284" i="11" s="1"/>
  <c r="E284" i="11" s="1"/>
  <c r="D284" i="11" l="1"/>
  <c r="F284" i="11" s="1"/>
  <c r="G284" i="11" s="1"/>
  <c r="C285" i="11" s="1"/>
  <c r="D285" i="11" s="1"/>
  <c r="L271" i="11"/>
  <c r="M271" i="11" s="1"/>
  <c r="N271" i="11" s="1"/>
  <c r="J272" i="11" s="1"/>
  <c r="E285" i="11"/>
  <c r="K272" i="11" l="1"/>
  <c r="L272" i="11"/>
  <c r="F285" i="11"/>
  <c r="G285" i="11" s="1"/>
  <c r="C286" i="11" s="1"/>
  <c r="D286" i="11" s="1"/>
  <c r="E286" i="11" l="1"/>
  <c r="F286" i="11" s="1"/>
  <c r="G286" i="11" s="1"/>
  <c r="C287" i="11" s="1"/>
  <c r="M272" i="11"/>
  <c r="N272" i="11" s="1"/>
  <c r="J273" i="11" s="1"/>
  <c r="L273" i="11" l="1"/>
  <c r="K273" i="11"/>
  <c r="D287" i="11"/>
  <c r="E287" i="11"/>
  <c r="M273" i="11" l="1"/>
  <c r="N273" i="11" s="1"/>
  <c r="J274" i="11" s="1"/>
  <c r="L274" i="11" s="1"/>
  <c r="F287" i="11"/>
  <c r="G287" i="11" s="1"/>
  <c r="C288" i="11" s="1"/>
  <c r="E288" i="11" s="1"/>
  <c r="K274" i="11" l="1"/>
  <c r="M274" i="11" s="1"/>
  <c r="N274" i="11" s="1"/>
  <c r="J275" i="11" s="1"/>
  <c r="K275" i="11" s="1"/>
  <c r="D288" i="11"/>
  <c r="F288" i="11" s="1"/>
  <c r="G288" i="11" s="1"/>
  <c r="C289" i="11" s="1"/>
  <c r="D289" i="11" s="1"/>
  <c r="L275" i="11" l="1"/>
  <c r="M275" i="11" s="1"/>
  <c r="N275" i="11" s="1"/>
  <c r="J276" i="11" s="1"/>
  <c r="E289" i="11"/>
  <c r="F289" i="11" s="1"/>
  <c r="G289" i="11" s="1"/>
  <c r="C290" i="11" s="1"/>
  <c r="L276" i="11" l="1"/>
  <c r="K276" i="11"/>
  <c r="D290" i="11"/>
  <c r="E290" i="11"/>
  <c r="M276" i="11" l="1"/>
  <c r="N276" i="11" s="1"/>
  <c r="J277" i="11" s="1"/>
  <c r="K277" i="11" s="1"/>
  <c r="F290" i="11"/>
  <c r="G290" i="11" s="1"/>
  <c r="C291" i="11" s="1"/>
  <c r="D291" i="11" s="1"/>
  <c r="L277" i="11" l="1"/>
  <c r="M277" i="11" s="1"/>
  <c r="N277" i="11" s="1"/>
  <c r="J278" i="11" s="1"/>
  <c r="E291" i="11"/>
  <c r="F291" i="11" s="1"/>
  <c r="G291" i="11" s="1"/>
  <c r="C292" i="11" s="1"/>
  <c r="E292" i="11" s="1"/>
  <c r="D292" i="11" l="1"/>
  <c r="F292" i="11" s="1"/>
  <c r="G292" i="11" s="1"/>
  <c r="C293" i="11" s="1"/>
  <c r="L278" i="11"/>
  <c r="K278" i="11"/>
  <c r="M278" i="11" l="1"/>
  <c r="N278" i="11" s="1"/>
  <c r="J279" i="11" s="1"/>
  <c r="E293" i="11"/>
  <c r="D293" i="11"/>
  <c r="K279" i="11" l="1"/>
  <c r="L279" i="11"/>
  <c r="F293" i="11"/>
  <c r="G293" i="11" s="1"/>
  <c r="C294" i="11" s="1"/>
  <c r="M279" i="11" l="1"/>
  <c r="N279" i="11" s="1"/>
  <c r="J280" i="11" s="1"/>
  <c r="D294" i="11"/>
  <c r="E294" i="11"/>
  <c r="L280" i="11" l="1"/>
  <c r="K280" i="11"/>
  <c r="F294" i="11"/>
  <c r="G294" i="11" s="1"/>
  <c r="C295" i="11" s="1"/>
  <c r="M280" i="11" l="1"/>
  <c r="N280" i="11" s="1"/>
  <c r="J281" i="11" s="1"/>
  <c r="K281" i="11" s="1"/>
  <c r="E295" i="11"/>
  <c r="D295" i="11"/>
  <c r="L281" i="11" l="1"/>
  <c r="M281" i="11" s="1"/>
  <c r="N281" i="11" s="1"/>
  <c r="J282" i="11" s="1"/>
  <c r="F295" i="11"/>
  <c r="G295" i="11" s="1"/>
  <c r="C296" i="11" s="1"/>
  <c r="K282" i="11" l="1"/>
  <c r="L282" i="11"/>
  <c r="E296" i="11"/>
  <c r="D296" i="11"/>
  <c r="F296" i="11" s="1"/>
  <c r="G296" i="11" s="1"/>
  <c r="C297" i="11" s="1"/>
  <c r="M282" i="11" l="1"/>
  <c r="N282" i="11" s="1"/>
  <c r="J283" i="11" s="1"/>
  <c r="E297" i="11"/>
  <c r="D297" i="11"/>
  <c r="K283" i="11" l="1"/>
  <c r="L283" i="11"/>
  <c r="F297" i="11"/>
  <c r="G297" i="11" s="1"/>
  <c r="C298" i="11" s="1"/>
  <c r="D298" i="11" s="1"/>
  <c r="E298" i="11" l="1"/>
  <c r="F298" i="11" s="1"/>
  <c r="G298" i="11" s="1"/>
  <c r="C299" i="11" s="1"/>
  <c r="M283" i="11"/>
  <c r="N283" i="11" s="1"/>
  <c r="J284" i="11" s="1"/>
  <c r="L284" i="11" l="1"/>
  <c r="K284" i="11"/>
  <c r="D299" i="11"/>
  <c r="E299" i="11"/>
  <c r="M284" i="11" l="1"/>
  <c r="N284" i="11" s="1"/>
  <c r="J285" i="11" s="1"/>
  <c r="K285" i="11" s="1"/>
  <c r="F299" i="11"/>
  <c r="G299" i="11" s="1"/>
  <c r="C300" i="11" s="1"/>
  <c r="L285" i="11" l="1"/>
  <c r="M285" i="11" s="1"/>
  <c r="N285" i="11" s="1"/>
  <c r="J286" i="11" s="1"/>
  <c r="E300" i="11"/>
  <c r="D300" i="11"/>
  <c r="L286" i="11" l="1"/>
  <c r="K286" i="11"/>
  <c r="F300" i="11"/>
  <c r="G300" i="11" s="1"/>
  <c r="C301" i="11" s="1"/>
  <c r="E301" i="11"/>
  <c r="D301" i="11"/>
  <c r="M286" i="11" l="1"/>
  <c r="N286" i="11" s="1"/>
  <c r="J287" i="11" s="1"/>
  <c r="F301" i="11"/>
  <c r="G301" i="11" s="1"/>
  <c r="C302" i="11" s="1"/>
  <c r="D302" i="11" s="1"/>
  <c r="E302" i="11" l="1"/>
  <c r="F302" i="11" s="1"/>
  <c r="G302" i="11" s="1"/>
  <c r="C303" i="11" s="1"/>
  <c r="K287" i="11"/>
  <c r="L287" i="11"/>
  <c r="M287" i="11" l="1"/>
  <c r="N287" i="11" s="1"/>
  <c r="J288" i="11" s="1"/>
  <c r="D303" i="11"/>
  <c r="E303" i="11"/>
  <c r="K288" i="11" l="1"/>
  <c r="L288" i="11"/>
  <c r="F303" i="11"/>
  <c r="G303" i="11" s="1"/>
  <c r="C304" i="11" s="1"/>
  <c r="M288" i="11" l="1"/>
  <c r="N288" i="11" s="1"/>
  <c r="J289" i="11" s="1"/>
  <c r="E304" i="11"/>
  <c r="D304" i="11"/>
  <c r="K289" i="11" l="1"/>
  <c r="L289" i="11"/>
  <c r="F304" i="11"/>
  <c r="G304" i="11" s="1"/>
  <c r="C305" i="11" s="1"/>
  <c r="E305" i="11" s="1"/>
  <c r="D305" i="11" l="1"/>
  <c r="F305" i="11" s="1"/>
  <c r="G305" i="11" s="1"/>
  <c r="C306" i="11" s="1"/>
  <c r="M289" i="11"/>
  <c r="N289" i="11" s="1"/>
  <c r="J290" i="11" s="1"/>
  <c r="E306" i="11" l="1"/>
  <c r="D306" i="11"/>
  <c r="F306" i="11" s="1"/>
  <c r="G306" i="11" s="1"/>
  <c r="C307" i="11" s="1"/>
  <c r="E307" i="11" s="1"/>
  <c r="K290" i="11"/>
  <c r="L290" i="11"/>
  <c r="D307" i="11" l="1"/>
  <c r="F307" i="11" s="1"/>
  <c r="G307" i="11" s="1"/>
  <c r="C308" i="11" s="1"/>
  <c r="D308" i="11" s="1"/>
  <c r="M290" i="11"/>
  <c r="N290" i="11" s="1"/>
  <c r="J291" i="11" s="1"/>
  <c r="E308" i="11" l="1"/>
  <c r="F308" i="11" s="1"/>
  <c r="G308" i="11" s="1"/>
  <c r="C309" i="11" s="1"/>
  <c r="K291" i="11"/>
  <c r="L291" i="11"/>
  <c r="M291" i="11" l="1"/>
  <c r="N291" i="11" s="1"/>
  <c r="J292" i="11" s="1"/>
  <c r="E309" i="11"/>
  <c r="D309" i="11"/>
  <c r="K292" i="11" l="1"/>
  <c r="L292" i="11"/>
  <c r="F309" i="11"/>
  <c r="G309" i="11" s="1"/>
  <c r="C310" i="11" s="1"/>
  <c r="M292" i="11" l="1"/>
  <c r="N292" i="11" s="1"/>
  <c r="J293" i="11" s="1"/>
  <c r="D310" i="11"/>
  <c r="E310" i="11"/>
  <c r="K293" i="11" l="1"/>
  <c r="L293" i="11"/>
  <c r="F310" i="11"/>
  <c r="G310" i="11" s="1"/>
  <c r="C311" i="11" s="1"/>
  <c r="M293" i="11" l="1"/>
  <c r="N293" i="11" s="1"/>
  <c r="J294" i="11" s="1"/>
  <c r="D311" i="11"/>
  <c r="E311" i="11"/>
  <c r="K294" i="11" l="1"/>
  <c r="L294" i="11"/>
  <c r="F311" i="11"/>
  <c r="G311" i="11" s="1"/>
  <c r="C312" i="11" s="1"/>
  <c r="M294" i="11" l="1"/>
  <c r="N294" i="11" s="1"/>
  <c r="J295" i="11" s="1"/>
  <c r="E312" i="11"/>
  <c r="D312" i="11"/>
  <c r="K295" i="11" l="1"/>
  <c r="L295" i="11"/>
  <c r="F312" i="11"/>
  <c r="G312" i="11" s="1"/>
  <c r="C313" i="11" s="1"/>
  <c r="E313" i="11" s="1"/>
  <c r="D313" i="11" l="1"/>
  <c r="F313" i="11" s="1"/>
  <c r="G313" i="11" s="1"/>
  <c r="C314" i="11" s="1"/>
  <c r="D314" i="11" s="1"/>
  <c r="M295" i="11"/>
  <c r="N295" i="11" s="1"/>
  <c r="J296" i="11" s="1"/>
  <c r="E314" i="11" l="1"/>
  <c r="K296" i="11"/>
  <c r="L296" i="11"/>
  <c r="F314" i="11"/>
  <c r="G314" i="11" s="1"/>
  <c r="C315" i="11" s="1"/>
  <c r="M296" i="11" l="1"/>
  <c r="N296" i="11" s="1"/>
  <c r="J297" i="11" s="1"/>
  <c r="E315" i="11"/>
  <c r="D315" i="11"/>
  <c r="F315" i="11" l="1"/>
  <c r="G315" i="11" s="1"/>
  <c r="C316" i="11" s="1"/>
  <c r="E316" i="11" s="1"/>
  <c r="K297" i="11"/>
  <c r="L297" i="11"/>
  <c r="D316" i="11" l="1"/>
  <c r="F316" i="11" s="1"/>
  <c r="G316" i="11" s="1"/>
  <c r="C317" i="11" s="1"/>
  <c r="E317" i="11" s="1"/>
  <c r="M297" i="11"/>
  <c r="N297" i="11" s="1"/>
  <c r="J298" i="11" s="1"/>
  <c r="L298" i="11" s="1"/>
  <c r="D317" i="11" l="1"/>
  <c r="F317" i="11" s="1"/>
  <c r="G317" i="11" s="1"/>
  <c r="C318" i="11" s="1"/>
  <c r="K298" i="11"/>
  <c r="M298" i="11" s="1"/>
  <c r="N298" i="11" s="1"/>
  <c r="J299" i="11" s="1"/>
  <c r="E318" i="11" l="1"/>
  <c r="D318" i="11"/>
  <c r="F318" i="11" s="1"/>
  <c r="G318" i="11" s="1"/>
  <c r="C319" i="11" s="1"/>
  <c r="K299" i="11"/>
  <c r="L299" i="11"/>
  <c r="E319" i="11" l="1"/>
  <c r="D319" i="11"/>
  <c r="F319" i="11" s="1"/>
  <c r="G319" i="11" s="1"/>
  <c r="C320" i="11" s="1"/>
  <c r="M299" i="11"/>
  <c r="N299" i="11" s="1"/>
  <c r="J300" i="11" s="1"/>
  <c r="L300" i="11" s="1"/>
  <c r="K300" i="11" l="1"/>
  <c r="M300" i="11" s="1"/>
  <c r="N300" i="11" s="1"/>
  <c r="J301" i="11" s="1"/>
  <c r="K301" i="11" s="1"/>
  <c r="D320" i="11"/>
  <c r="E320" i="11"/>
  <c r="L301" i="11" l="1"/>
  <c r="M301" i="11" s="1"/>
  <c r="N301" i="11" s="1"/>
  <c r="J302" i="11" s="1"/>
  <c r="F320" i="11"/>
  <c r="G320" i="11" s="1"/>
  <c r="C321" i="11" s="1"/>
  <c r="K302" i="11" l="1"/>
  <c r="L302" i="11"/>
  <c r="E321" i="11"/>
  <c r="D321" i="11"/>
  <c r="M302" i="11" l="1"/>
  <c r="N302" i="11" s="1"/>
  <c r="J303" i="11" s="1"/>
  <c r="F321" i="11"/>
  <c r="G321" i="11" s="1"/>
  <c r="C322" i="11" s="1"/>
  <c r="D322" i="11" s="1"/>
  <c r="L303" i="11" l="1"/>
  <c r="K303" i="11"/>
  <c r="E322" i="11"/>
  <c r="F322" i="11" s="1"/>
  <c r="G322" i="11" s="1"/>
  <c r="C323" i="11" s="1"/>
  <c r="M303" i="11" l="1"/>
  <c r="N303" i="11" s="1"/>
  <c r="J304" i="11" s="1"/>
  <c r="L304" i="11" s="1"/>
  <c r="D323" i="11"/>
  <c r="E323" i="11"/>
  <c r="K304" i="11" l="1"/>
  <c r="M304" i="11" s="1"/>
  <c r="N304" i="11" s="1"/>
  <c r="J305" i="11" s="1"/>
  <c r="L305" i="11" s="1"/>
  <c r="F323" i="11"/>
  <c r="G323" i="11" s="1"/>
  <c r="C324" i="11" s="1"/>
  <c r="D324" i="11" s="1"/>
  <c r="K305" i="11" l="1"/>
  <c r="M305" i="11" s="1"/>
  <c r="N305" i="11" s="1"/>
  <c r="J306" i="11" s="1"/>
  <c r="L306" i="11" s="1"/>
  <c r="E324" i="11"/>
  <c r="F324" i="11" s="1"/>
  <c r="G324" i="11" s="1"/>
  <c r="C325" i="11" s="1"/>
  <c r="K306" i="11" l="1"/>
  <c r="M306" i="11" s="1"/>
  <c r="N306" i="11" s="1"/>
  <c r="J307" i="11" s="1"/>
  <c r="K307" i="11" s="1"/>
  <c r="E325" i="11"/>
  <c r="D325" i="11"/>
  <c r="L307" i="11" l="1"/>
  <c r="M307" i="11" s="1"/>
  <c r="N307" i="11" s="1"/>
  <c r="J308" i="11" s="1"/>
  <c r="F325" i="11"/>
  <c r="G325" i="11" s="1"/>
  <c r="C326" i="11" s="1"/>
  <c r="K308" i="11" l="1"/>
  <c r="L308" i="11"/>
  <c r="D326" i="11"/>
  <c r="E326" i="11"/>
  <c r="M308" i="11" l="1"/>
  <c r="N308" i="11" s="1"/>
  <c r="J309" i="11" s="1"/>
  <c r="F326" i="11"/>
  <c r="G326" i="11" s="1"/>
  <c r="C327" i="11" s="1"/>
  <c r="L309" i="11" l="1"/>
  <c r="K309" i="11"/>
  <c r="E327" i="11"/>
  <c r="D327" i="11"/>
  <c r="M309" i="11" l="1"/>
  <c r="N309" i="11" s="1"/>
  <c r="J310" i="11" s="1"/>
  <c r="K310" i="11" s="1"/>
  <c r="F327" i="11"/>
  <c r="G327" i="11" s="1"/>
  <c r="C328" i="11" s="1"/>
  <c r="L310" i="11" l="1"/>
  <c r="M310" i="11" s="1"/>
  <c r="N310" i="11" s="1"/>
  <c r="J311" i="11" s="1"/>
  <c r="D328" i="11"/>
  <c r="E328" i="11"/>
  <c r="K311" i="11" l="1"/>
  <c r="M311" i="11" s="1"/>
  <c r="N311" i="11" s="1"/>
  <c r="J312" i="11" s="1"/>
  <c r="L312" i="11" s="1"/>
  <c r="L311" i="11"/>
  <c r="F328" i="11"/>
  <c r="G328" i="11" s="1"/>
  <c r="C329" i="11" s="1"/>
  <c r="K312" i="11" l="1"/>
  <c r="M312" i="11" s="1"/>
  <c r="N312" i="11" s="1"/>
  <c r="J313" i="11" s="1"/>
  <c r="L313" i="11" s="1"/>
  <c r="D329" i="11"/>
  <c r="E329" i="11"/>
  <c r="K313" i="11" l="1"/>
  <c r="M313" i="11" s="1"/>
  <c r="N313" i="11" s="1"/>
  <c r="J314" i="11" s="1"/>
  <c r="K314" i="11" s="1"/>
  <c r="F329" i="11"/>
  <c r="G329" i="11" s="1"/>
  <c r="C330" i="11" s="1"/>
  <c r="L314" i="11" l="1"/>
  <c r="M314" i="11" s="1"/>
  <c r="N314" i="11" s="1"/>
  <c r="J315" i="11" s="1"/>
  <c r="D330" i="11"/>
  <c r="E330" i="11"/>
  <c r="K315" i="11" l="1"/>
  <c r="L315" i="11"/>
  <c r="F330" i="11"/>
  <c r="G330" i="11" s="1"/>
  <c r="C331" i="11" s="1"/>
  <c r="E331" i="11" s="1"/>
  <c r="D331" i="11"/>
  <c r="M315" i="11" l="1"/>
  <c r="N315" i="11" s="1"/>
  <c r="J316" i="11" s="1"/>
  <c r="F331" i="11"/>
  <c r="G331" i="11" s="1"/>
  <c r="C332" i="11" s="1"/>
  <c r="K316" i="11" l="1"/>
  <c r="L316" i="11"/>
  <c r="D332" i="11"/>
  <c r="E332" i="11"/>
  <c r="M316" i="11" l="1"/>
  <c r="N316" i="11" s="1"/>
  <c r="J317" i="11" s="1"/>
  <c r="F332" i="11"/>
  <c r="G332" i="11" s="1"/>
  <c r="C333" i="11" s="1"/>
  <c r="L317" i="11" l="1"/>
  <c r="K317" i="11"/>
  <c r="E333" i="11"/>
  <c r="D333" i="11"/>
  <c r="M317" i="11" l="1"/>
  <c r="N317" i="11" s="1"/>
  <c r="J318" i="11" s="1"/>
  <c r="K318" i="11" s="1"/>
  <c r="F333" i="11"/>
  <c r="G333" i="11" s="1"/>
  <c r="C334" i="11" s="1"/>
  <c r="E334" i="11" s="1"/>
  <c r="L318" i="11" l="1"/>
  <c r="M318" i="11" s="1"/>
  <c r="N318" i="11" s="1"/>
  <c r="J319" i="11" s="1"/>
  <c r="D334" i="11"/>
  <c r="F334" i="11" s="1"/>
  <c r="G334" i="11" s="1"/>
  <c r="C335" i="11" s="1"/>
  <c r="E335" i="11" s="1"/>
  <c r="D335" i="11" l="1"/>
  <c r="L319" i="11"/>
  <c r="K319" i="11"/>
  <c r="F335" i="11"/>
  <c r="G335" i="11" s="1"/>
  <c r="C336" i="11" s="1"/>
  <c r="D336" i="11" s="1"/>
  <c r="M319" i="11" l="1"/>
  <c r="N319" i="11" s="1"/>
  <c r="J320" i="11" s="1"/>
  <c r="K320" i="11" s="1"/>
  <c r="E336" i="11"/>
  <c r="F336" i="11" s="1"/>
  <c r="G336" i="11" s="1"/>
  <c r="C337" i="11" s="1"/>
  <c r="L320" i="11" l="1"/>
  <c r="M320" i="11" s="1"/>
  <c r="N320" i="11" s="1"/>
  <c r="J321" i="11" s="1"/>
  <c r="D337" i="11"/>
  <c r="E337" i="11"/>
  <c r="L321" i="11" l="1"/>
  <c r="K321" i="11"/>
  <c r="F337" i="11"/>
  <c r="G337" i="11" s="1"/>
  <c r="C338" i="11" s="1"/>
  <c r="E338" i="11" s="1"/>
  <c r="M321" i="11" l="1"/>
  <c r="N321" i="11" s="1"/>
  <c r="J322" i="11" s="1"/>
  <c r="L322" i="11" s="1"/>
  <c r="D338" i="11"/>
  <c r="F338" i="11" s="1"/>
  <c r="G338" i="11" s="1"/>
  <c r="C339" i="11" s="1"/>
  <c r="K322" i="11" l="1"/>
  <c r="M322" i="11" s="1"/>
  <c r="N322" i="11" s="1"/>
  <c r="J323" i="11" s="1"/>
  <c r="K323" i="11" s="1"/>
  <c r="E339" i="11"/>
  <c r="D339" i="11"/>
  <c r="L323" i="11" l="1"/>
  <c r="M323" i="11" s="1"/>
  <c r="N323" i="11" s="1"/>
  <c r="J324" i="11" s="1"/>
  <c r="F339" i="11"/>
  <c r="G339" i="11" s="1"/>
  <c r="C340" i="11" s="1"/>
  <c r="K324" i="11" l="1"/>
  <c r="L324" i="11"/>
  <c r="D340" i="11"/>
  <c r="E340" i="11"/>
  <c r="M324" i="11" l="1"/>
  <c r="N324" i="11" s="1"/>
  <c r="J325" i="11" s="1"/>
  <c r="F340" i="11"/>
  <c r="G340" i="11" s="1"/>
  <c r="C341" i="11" s="1"/>
  <c r="E341" i="11" s="1"/>
  <c r="L325" i="11" l="1"/>
  <c r="K325" i="11"/>
  <c r="D341" i="11"/>
  <c r="F341" i="11" s="1"/>
  <c r="G341" i="11" s="1"/>
  <c r="C342" i="11" s="1"/>
  <c r="M325" i="11" l="1"/>
  <c r="N325" i="11" s="1"/>
  <c r="J326" i="11" s="1"/>
  <c r="L326" i="11" s="1"/>
  <c r="E342" i="11"/>
  <c r="D342" i="11"/>
  <c r="F342" i="11" s="1"/>
  <c r="G342" i="11" s="1"/>
  <c r="C343" i="11" s="1"/>
  <c r="K326" i="11" l="1"/>
  <c r="M326" i="11" s="1"/>
  <c r="N326" i="11" s="1"/>
  <c r="J327" i="11" s="1"/>
  <c r="K327" i="11" s="1"/>
  <c r="E343" i="11"/>
  <c r="D343" i="11"/>
  <c r="L327" i="11" l="1"/>
  <c r="M327" i="11" s="1"/>
  <c r="N327" i="11" s="1"/>
  <c r="J328" i="11" s="1"/>
  <c r="F343" i="11"/>
  <c r="G343" i="11" s="1"/>
  <c r="C344" i="11" s="1"/>
  <c r="L328" i="11" l="1"/>
  <c r="K328" i="11"/>
  <c r="D344" i="11"/>
  <c r="E344" i="11"/>
  <c r="M328" i="11" l="1"/>
  <c r="N328" i="11" s="1"/>
  <c r="J329" i="11" s="1"/>
  <c r="L329" i="11"/>
  <c r="K329" i="11"/>
  <c r="F344" i="11"/>
  <c r="G344" i="11" s="1"/>
  <c r="C345" i="11" s="1"/>
  <c r="M329" i="11" l="1"/>
  <c r="N329" i="11" s="1"/>
  <c r="J330" i="11" s="1"/>
  <c r="K330" i="11" s="1"/>
  <c r="D345" i="11"/>
  <c r="E345" i="11"/>
  <c r="L330" i="11" l="1"/>
  <c r="M330" i="11" s="1"/>
  <c r="N330" i="11" s="1"/>
  <c r="J331" i="11" s="1"/>
  <c r="F345" i="11"/>
  <c r="G345" i="11" s="1"/>
  <c r="C346" i="11" s="1"/>
  <c r="K331" i="11" l="1"/>
  <c r="L331" i="11"/>
  <c r="D346" i="11"/>
  <c r="E346" i="11"/>
  <c r="F346" i="11" l="1"/>
  <c r="G346" i="11" s="1"/>
  <c r="C347" i="11" s="1"/>
  <c r="M331" i="11"/>
  <c r="N331" i="11" s="1"/>
  <c r="J332" i="11" s="1"/>
  <c r="D347" i="11"/>
  <c r="E347" i="11"/>
  <c r="L332" i="11" l="1"/>
  <c r="K332" i="11"/>
  <c r="F347" i="11"/>
  <c r="G347" i="11" s="1"/>
  <c r="C348" i="11" s="1"/>
  <c r="M332" i="11" l="1"/>
  <c r="N332" i="11" s="1"/>
  <c r="J333" i="11" s="1"/>
  <c r="K333" i="11" s="1"/>
  <c r="D348" i="11"/>
  <c r="E348" i="11"/>
  <c r="L333" i="11" l="1"/>
  <c r="M333" i="11" s="1"/>
  <c r="N333" i="11" s="1"/>
  <c r="J334" i="11" s="1"/>
  <c r="F348" i="11"/>
  <c r="G348" i="11" s="1"/>
  <c r="C349" i="11" s="1"/>
  <c r="L334" i="11" l="1"/>
  <c r="K334" i="11"/>
  <c r="M334" i="11" s="1"/>
  <c r="N334" i="11" s="1"/>
  <c r="J335" i="11" s="1"/>
  <c r="E349" i="11"/>
  <c r="D349" i="11"/>
  <c r="K335" i="11" l="1"/>
  <c r="L335" i="11"/>
  <c r="F349" i="11"/>
  <c r="G349" i="11" s="1"/>
  <c r="C350" i="11" s="1"/>
  <c r="D350" i="11" s="1"/>
  <c r="M335" i="11" l="1"/>
  <c r="N335" i="11" s="1"/>
  <c r="J336" i="11" s="1"/>
  <c r="E350" i="11"/>
  <c r="F350" i="11" s="1"/>
  <c r="G350" i="11" s="1"/>
  <c r="C351" i="11" s="1"/>
  <c r="K336" i="11" l="1"/>
  <c r="L336" i="11"/>
  <c r="E351" i="11"/>
  <c r="D351" i="11"/>
  <c r="M336" i="11" l="1"/>
  <c r="N336" i="11" s="1"/>
  <c r="J337" i="11" s="1"/>
  <c r="F351" i="11"/>
  <c r="G351" i="11" s="1"/>
  <c r="C352" i="11" s="1"/>
  <c r="E352" i="11" s="1"/>
  <c r="D352" i="11" l="1"/>
  <c r="F352" i="11" s="1"/>
  <c r="G352" i="11" s="1"/>
  <c r="C353" i="11" s="1"/>
  <c r="L337" i="11"/>
  <c r="K337" i="11"/>
  <c r="M337" i="11" l="1"/>
  <c r="N337" i="11" s="1"/>
  <c r="J338" i="11" s="1"/>
  <c r="L338" i="11" s="1"/>
  <c r="D353" i="11"/>
  <c r="E353" i="11"/>
  <c r="K338" i="11" l="1"/>
  <c r="M338" i="11" s="1"/>
  <c r="N338" i="11" s="1"/>
  <c r="J339" i="11" s="1"/>
  <c r="L339" i="11" s="1"/>
  <c r="F353" i="11"/>
  <c r="G353" i="11" s="1"/>
  <c r="C354" i="11" s="1"/>
  <c r="D354" i="11" s="1"/>
  <c r="K339" i="11" l="1"/>
  <c r="M339" i="11" s="1"/>
  <c r="N339" i="11" s="1"/>
  <c r="J340" i="11" s="1"/>
  <c r="L340" i="11" s="1"/>
  <c r="E354" i="11"/>
  <c r="F354" i="11" s="1"/>
  <c r="G354" i="11" s="1"/>
  <c r="C355" i="11" s="1"/>
  <c r="K340" i="11" l="1"/>
  <c r="M340" i="11" s="1"/>
  <c r="N340" i="11" s="1"/>
  <c r="J341" i="11" s="1"/>
  <c r="L341" i="11" s="1"/>
  <c r="D355" i="11"/>
  <c r="E355" i="11"/>
  <c r="F355" i="11" s="1"/>
  <c r="G355" i="11" s="1"/>
  <c r="C356" i="11" s="1"/>
  <c r="K341" i="11" l="1"/>
  <c r="M341" i="11" s="1"/>
  <c r="N341" i="11" s="1"/>
  <c r="J342" i="11" s="1"/>
  <c r="L342" i="11" s="1"/>
  <c r="E356" i="11"/>
  <c r="D356" i="11"/>
  <c r="F356" i="11" s="1"/>
  <c r="G356" i="11" s="1"/>
  <c r="C357" i="11" s="1"/>
  <c r="D357" i="11" s="1"/>
  <c r="K342" i="11" l="1"/>
  <c r="M342" i="11" s="1"/>
  <c r="N342" i="11" s="1"/>
  <c r="J343" i="11" s="1"/>
  <c r="K343" i="11" s="1"/>
  <c r="E357" i="11"/>
  <c r="F357" i="11" s="1"/>
  <c r="G357" i="11" s="1"/>
  <c r="C358" i="11" s="1"/>
  <c r="L343" i="11" l="1"/>
  <c r="M343" i="11" s="1"/>
  <c r="N343" i="11" s="1"/>
  <c r="J344" i="11" s="1"/>
  <c r="L344" i="11" s="1"/>
  <c r="E358" i="11"/>
  <c r="D358" i="11"/>
  <c r="K344" i="11" l="1"/>
  <c r="M344" i="11" s="1"/>
  <c r="N344" i="11" s="1"/>
  <c r="J345" i="11" s="1"/>
  <c r="K345" i="11" s="1"/>
  <c r="F358" i="11"/>
  <c r="G358" i="11" s="1"/>
  <c r="C359" i="11" s="1"/>
  <c r="L345" i="11" l="1"/>
  <c r="M345" i="11" s="1"/>
  <c r="N345" i="11" s="1"/>
  <c r="J346" i="11" s="1"/>
  <c r="D359" i="11"/>
  <c r="E359" i="11"/>
  <c r="K346" i="11" l="1"/>
  <c r="M346" i="11" s="1"/>
  <c r="N346" i="11" s="1"/>
  <c r="J347" i="11" s="1"/>
  <c r="L346" i="11"/>
  <c r="F359" i="11"/>
  <c r="G359" i="11" s="1"/>
  <c r="C360" i="11" s="1"/>
  <c r="L347" i="11" l="1"/>
  <c r="K347" i="11"/>
  <c r="M347" i="11" s="1"/>
  <c r="N347" i="11" s="1"/>
  <c r="J348" i="11" s="1"/>
  <c r="E360" i="11"/>
  <c r="D360" i="11"/>
  <c r="L348" i="11" l="1"/>
  <c r="K348" i="11"/>
  <c r="F360" i="11"/>
  <c r="G360" i="11" s="1"/>
  <c r="C361" i="11" s="1"/>
  <c r="M348" i="11" l="1"/>
  <c r="N348" i="11" s="1"/>
  <c r="J349" i="11" s="1"/>
  <c r="L349" i="11" s="1"/>
  <c r="K349" i="11"/>
  <c r="E361" i="11"/>
  <c r="D361" i="11"/>
  <c r="M349" i="11" l="1"/>
  <c r="N349" i="11" s="1"/>
  <c r="J350" i="11" s="1"/>
  <c r="K350" i="11"/>
  <c r="L350" i="11"/>
  <c r="F361" i="11"/>
  <c r="G361" i="11" s="1"/>
  <c r="C362" i="11" s="1"/>
  <c r="M350" i="11" l="1"/>
  <c r="N350" i="11" s="1"/>
  <c r="J351" i="11" s="1"/>
  <c r="D362" i="11"/>
  <c r="E362" i="11"/>
  <c r="L351" i="11" l="1"/>
  <c r="K351" i="11"/>
  <c r="F362" i="11"/>
  <c r="G362" i="11" s="1"/>
  <c r="C363" i="11" s="1"/>
  <c r="M351" i="11" l="1"/>
  <c r="N351" i="11" s="1"/>
  <c r="J352" i="11" s="1"/>
  <c r="D363" i="11"/>
  <c r="E363" i="11"/>
  <c r="L352" i="11" l="1"/>
  <c r="K352" i="11"/>
  <c r="F363" i="11"/>
  <c r="G363" i="11" s="1"/>
  <c r="C364" i="11" s="1"/>
  <c r="E364" i="11" s="1"/>
  <c r="M352" i="11" l="1"/>
  <c r="N352" i="11" s="1"/>
  <c r="J353" i="11" s="1"/>
  <c r="L353" i="11" s="1"/>
  <c r="D364" i="11"/>
  <c r="F364" i="11" s="1"/>
  <c r="G364" i="11" s="1"/>
  <c r="C365" i="11" s="1"/>
  <c r="E365" i="11" s="1"/>
  <c r="K353" i="11" l="1"/>
  <c r="M353" i="11" s="1"/>
  <c r="N353" i="11" s="1"/>
  <c r="J354" i="11" s="1"/>
  <c r="D365" i="11"/>
  <c r="F365" i="11" s="1"/>
  <c r="G365" i="11" s="1"/>
  <c r="C366" i="11" s="1"/>
  <c r="D366" i="11" s="1"/>
  <c r="E366" i="11" l="1"/>
  <c r="F366" i="11" s="1"/>
  <c r="G366" i="11" s="1"/>
  <c r="C367" i="11" s="1"/>
  <c r="D367" i="11" s="1"/>
  <c r="K354" i="11"/>
  <c r="L354" i="11"/>
  <c r="M354" i="11" l="1"/>
  <c r="N354" i="11" s="1"/>
  <c r="J355" i="11" s="1"/>
  <c r="L355" i="11" s="1"/>
  <c r="E367" i="11"/>
  <c r="F367" i="11" s="1"/>
  <c r="G367" i="11" s="1"/>
  <c r="C368" i="11" s="1"/>
  <c r="D368" i="11" s="1"/>
  <c r="K355" i="11" l="1"/>
  <c r="M355" i="11" s="1"/>
  <c r="N355" i="11" s="1"/>
  <c r="J356" i="11" s="1"/>
  <c r="K356" i="11" s="1"/>
  <c r="E368" i="11"/>
  <c r="F368" i="11" s="1"/>
  <c r="G368" i="11" s="1"/>
  <c r="C369" i="11" s="1"/>
  <c r="L356" i="11" l="1"/>
  <c r="M356" i="11" s="1"/>
  <c r="N356" i="11" s="1"/>
  <c r="J357" i="11" s="1"/>
  <c r="E369" i="11"/>
  <c r="D369" i="11"/>
  <c r="L357" i="11" l="1"/>
  <c r="K357" i="11"/>
  <c r="M357" i="11" s="1"/>
  <c r="N357" i="11" s="1"/>
  <c r="J358" i="11" s="1"/>
  <c r="F369" i="11"/>
  <c r="G369" i="11" s="1"/>
  <c r="C370" i="11" s="1"/>
  <c r="D370" i="11" s="1"/>
  <c r="L358" i="11" l="1"/>
  <c r="K358" i="11"/>
  <c r="E370" i="11"/>
  <c r="F370" i="11" s="1"/>
  <c r="G370" i="11" s="1"/>
  <c r="C371" i="11" s="1"/>
  <c r="M358" i="11" l="1"/>
  <c r="N358" i="11" s="1"/>
  <c r="J359" i="11" s="1"/>
  <c r="L359" i="11" s="1"/>
  <c r="E371" i="11"/>
  <c r="D371" i="11"/>
  <c r="K359" i="11" l="1"/>
  <c r="M359" i="11" s="1"/>
  <c r="N359" i="11" s="1"/>
  <c r="J360" i="11" s="1"/>
  <c r="L360" i="11" s="1"/>
  <c r="F371" i="11"/>
  <c r="G371" i="11" s="1"/>
  <c r="C372" i="11" s="1"/>
  <c r="D372" i="11" s="1"/>
  <c r="K360" i="11" l="1"/>
  <c r="M360" i="11" s="1"/>
  <c r="N360" i="11" s="1"/>
  <c r="J361" i="11" s="1"/>
  <c r="E372" i="11"/>
  <c r="F372" i="11" s="1"/>
  <c r="G372" i="11" s="1"/>
  <c r="C373" i="11" s="1"/>
  <c r="K361" i="11" l="1"/>
  <c r="L361" i="11"/>
  <c r="D373" i="11"/>
  <c r="E373" i="11"/>
  <c r="M361" i="11" l="1"/>
  <c r="N361" i="11" s="1"/>
  <c r="J362" i="11" s="1"/>
  <c r="F373" i="11"/>
  <c r="G373" i="11" s="1"/>
  <c r="C374" i="11" s="1"/>
  <c r="L362" i="11" l="1"/>
  <c r="K362" i="11"/>
  <c r="D374" i="11"/>
  <c r="E374" i="11"/>
  <c r="M362" i="11" l="1"/>
  <c r="N362" i="11" s="1"/>
  <c r="J363" i="11" s="1"/>
  <c r="K363" i="11" s="1"/>
  <c r="F374" i="11"/>
  <c r="G374" i="11" s="1"/>
  <c r="C375" i="11" s="1"/>
  <c r="E375" i="11" s="1"/>
  <c r="D375" i="11"/>
  <c r="F375" i="11" s="1"/>
  <c r="G375" i="11" s="1"/>
  <c r="C376" i="11" s="1"/>
  <c r="L363" i="11" l="1"/>
  <c r="M363" i="11" s="1"/>
  <c r="N363" i="11" s="1"/>
  <c r="J364" i="11" s="1"/>
  <c r="E376" i="11"/>
  <c r="D376" i="11"/>
  <c r="L364" i="11" l="1"/>
  <c r="K364" i="11"/>
  <c r="F376" i="11"/>
  <c r="G376" i="11" s="1"/>
  <c r="C377" i="11" s="1"/>
  <c r="M364" i="11" l="1"/>
  <c r="N364" i="11" s="1"/>
  <c r="J365" i="11" s="1"/>
  <c r="E377" i="11"/>
  <c r="D377" i="11"/>
  <c r="F377" i="11" s="1"/>
  <c r="G377" i="11" s="1"/>
  <c r="C378" i="11" s="1"/>
  <c r="D378" i="11" s="1"/>
  <c r="L365" i="11" l="1"/>
  <c r="K365" i="11"/>
  <c r="M365" i="11" s="1"/>
  <c r="N365" i="11" s="1"/>
  <c r="J366" i="11" s="1"/>
  <c r="E378" i="11"/>
  <c r="F378" i="11" s="1"/>
  <c r="G378" i="11" s="1"/>
  <c r="C379" i="11" s="1"/>
  <c r="E379" i="11" s="1"/>
  <c r="L366" i="11" l="1"/>
  <c r="K366" i="11"/>
  <c r="D379" i="11"/>
  <c r="F379" i="11" s="1"/>
  <c r="G379" i="11" s="1"/>
  <c r="C380" i="11" s="1"/>
  <c r="D380" i="11" s="1"/>
  <c r="M366" i="11" l="1"/>
  <c r="N366" i="11" s="1"/>
  <c r="J367" i="11" s="1"/>
  <c r="E380" i="11"/>
  <c r="F380" i="11" s="1"/>
  <c r="G380" i="11" s="1"/>
  <c r="C381" i="11" s="1"/>
  <c r="K367" i="11" l="1"/>
  <c r="L367" i="11"/>
  <c r="D381" i="11"/>
  <c r="E381" i="11"/>
  <c r="F381" i="11" l="1"/>
  <c r="G381" i="11" s="1"/>
  <c r="C382" i="11" s="1"/>
  <c r="D382" i="11" s="1"/>
  <c r="M367" i="11"/>
  <c r="N367" i="11" s="1"/>
  <c r="J368" i="11" s="1"/>
  <c r="E382" i="11" l="1"/>
  <c r="F382" i="11" s="1"/>
  <c r="G382" i="11" s="1"/>
  <c r="C383" i="11" s="1"/>
  <c r="L368" i="11"/>
  <c r="K368" i="11"/>
  <c r="E383" i="11"/>
  <c r="D383" i="11"/>
  <c r="M368" i="11" l="1"/>
  <c r="N368" i="11" s="1"/>
  <c r="J369" i="11" s="1"/>
  <c r="F383" i="11"/>
  <c r="G383" i="11" s="1"/>
  <c r="C384" i="11" s="1"/>
  <c r="D384" i="11" s="1"/>
  <c r="L369" i="11" l="1"/>
  <c r="K369" i="11"/>
  <c r="E384" i="11"/>
  <c r="F384" i="11" s="1"/>
  <c r="G384" i="11" s="1"/>
  <c r="C385" i="11" s="1"/>
  <c r="M369" i="11" l="1"/>
  <c r="N369" i="11" s="1"/>
  <c r="J370" i="11" s="1"/>
  <c r="K370" i="11" s="1"/>
  <c r="L370" i="11"/>
  <c r="D385" i="11"/>
  <c r="E385" i="11"/>
  <c r="M370" i="11" l="1"/>
  <c r="N370" i="11" s="1"/>
  <c r="J371" i="11" s="1"/>
  <c r="L371" i="11" s="1"/>
  <c r="F385" i="11"/>
  <c r="G385" i="11" s="1"/>
  <c r="C386" i="11" s="1"/>
  <c r="E386" i="11" s="1"/>
  <c r="K371" i="11" l="1"/>
  <c r="M371" i="11" s="1"/>
  <c r="N371" i="11" s="1"/>
  <c r="J372" i="11" s="1"/>
  <c r="D386" i="11"/>
  <c r="F386" i="11" s="1"/>
  <c r="G386" i="11" s="1"/>
  <c r="C387" i="11" s="1"/>
  <c r="D387" i="11" s="1"/>
  <c r="E387" i="11" l="1"/>
  <c r="F387" i="11" s="1"/>
  <c r="G387" i="11" s="1"/>
  <c r="C388" i="11" s="1"/>
  <c r="L372" i="11"/>
  <c r="K372" i="11"/>
  <c r="D388" i="11"/>
  <c r="E388" i="11"/>
  <c r="M372" i="11" l="1"/>
  <c r="N372" i="11" s="1"/>
  <c r="J373" i="11" s="1"/>
  <c r="K373" i="11" s="1"/>
  <c r="F388" i="11"/>
  <c r="G388" i="11" s="1"/>
  <c r="C389" i="11" s="1"/>
  <c r="L373" i="11" l="1"/>
  <c r="M373" i="11" s="1"/>
  <c r="N373" i="11" s="1"/>
  <c r="J374" i="11" s="1"/>
  <c r="E389" i="11"/>
  <c r="D389" i="11"/>
  <c r="K374" i="11" l="1"/>
  <c r="L374" i="11"/>
  <c r="F389" i="11"/>
  <c r="G389" i="11" s="1"/>
  <c r="C390" i="11" s="1"/>
  <c r="D390" i="11" s="1"/>
  <c r="M374" i="11" l="1"/>
  <c r="N374" i="11" s="1"/>
  <c r="J375" i="11" s="1"/>
  <c r="L375" i="11" s="1"/>
  <c r="E390" i="11"/>
  <c r="F390" i="11" s="1"/>
  <c r="G390" i="11" s="1"/>
  <c r="C391" i="11" s="1"/>
  <c r="K375" i="11" l="1"/>
  <c r="M375" i="11" s="1"/>
  <c r="N375" i="11" s="1"/>
  <c r="J376" i="11" s="1"/>
  <c r="K376" i="11" s="1"/>
  <c r="E391" i="11"/>
  <c r="D391" i="11"/>
  <c r="L376" i="11" l="1"/>
  <c r="M376" i="11" s="1"/>
  <c r="N376" i="11" s="1"/>
  <c r="J377" i="11" s="1"/>
  <c r="F391" i="11"/>
  <c r="G391" i="11" s="1"/>
  <c r="C392" i="11" s="1"/>
  <c r="L377" i="11" l="1"/>
  <c r="K377" i="11"/>
  <c r="D392" i="11"/>
  <c r="E392" i="11"/>
  <c r="M377" i="11" l="1"/>
  <c r="N377" i="11" s="1"/>
  <c r="J378" i="11" s="1"/>
  <c r="K378" i="11" s="1"/>
  <c r="L378" i="11"/>
  <c r="F392" i="11"/>
  <c r="G392" i="11" s="1"/>
  <c r="C393" i="11" s="1"/>
  <c r="M378" i="11" l="1"/>
  <c r="N378" i="11" s="1"/>
  <c r="J379" i="11" s="1"/>
  <c r="K379" i="11" s="1"/>
  <c r="E393" i="11"/>
  <c r="D393" i="11"/>
  <c r="L379" i="11" l="1"/>
  <c r="M379" i="11" s="1"/>
  <c r="N379" i="11" s="1"/>
  <c r="J380" i="11" s="1"/>
  <c r="F393" i="11"/>
  <c r="G393" i="11" s="1"/>
  <c r="C394" i="11" s="1"/>
  <c r="K380" i="11" l="1"/>
  <c r="L380" i="11"/>
  <c r="D394" i="11"/>
  <c r="E394" i="11"/>
  <c r="M380" i="11" l="1"/>
  <c r="N380" i="11" s="1"/>
  <c r="J381" i="11" s="1"/>
  <c r="F394" i="11"/>
  <c r="G394" i="11" s="1"/>
  <c r="C395" i="11" s="1"/>
  <c r="E395" i="11"/>
  <c r="D395" i="11"/>
  <c r="K381" i="11" l="1"/>
  <c r="L381" i="11"/>
  <c r="F395" i="11"/>
  <c r="G395" i="11" s="1"/>
  <c r="C396" i="11" s="1"/>
  <c r="D396" i="11" s="1"/>
  <c r="M381" i="11" l="1"/>
  <c r="N381" i="11" s="1"/>
  <c r="J382" i="11" s="1"/>
  <c r="E396" i="11"/>
  <c r="F396" i="11" s="1"/>
  <c r="G396" i="11" s="1"/>
  <c r="C397" i="11" s="1"/>
  <c r="D397" i="11" s="1"/>
  <c r="K382" i="11" l="1"/>
  <c r="L382" i="11"/>
  <c r="E397" i="11"/>
  <c r="F397" i="11" s="1"/>
  <c r="G397" i="11" s="1"/>
  <c r="C398" i="11" s="1"/>
  <c r="M382" i="11" l="1"/>
  <c r="N382" i="11" s="1"/>
  <c r="J383" i="11" s="1"/>
  <c r="L383" i="11"/>
  <c r="K383" i="11"/>
  <c r="E398" i="11"/>
  <c r="D398" i="11"/>
  <c r="F398" i="11" s="1"/>
  <c r="G398" i="11" s="1"/>
  <c r="C399" i="11" s="1"/>
  <c r="D399" i="11" s="1"/>
  <c r="M383" i="11" l="1"/>
  <c r="N383" i="11" s="1"/>
  <c r="J384" i="11" s="1"/>
  <c r="E399" i="11"/>
  <c r="F399" i="11" s="1"/>
  <c r="G399" i="11" s="1"/>
  <c r="C400" i="11" s="1"/>
  <c r="K384" i="11" l="1"/>
  <c r="L384" i="11"/>
  <c r="E400" i="11"/>
  <c r="D400" i="11"/>
  <c r="M384" i="11" l="1"/>
  <c r="N384" i="11" s="1"/>
  <c r="J385" i="11" s="1"/>
  <c r="F400" i="11"/>
  <c r="G400" i="11" s="1"/>
  <c r="C401" i="11" s="1"/>
  <c r="K385" i="11" l="1"/>
  <c r="L385" i="11"/>
  <c r="E401" i="11"/>
  <c r="D401" i="11"/>
  <c r="M385" i="11" l="1"/>
  <c r="N385" i="11" s="1"/>
  <c r="J386" i="11" s="1"/>
  <c r="F401" i="11"/>
  <c r="G401" i="11" s="1"/>
  <c r="C402" i="11" s="1"/>
  <c r="L386" i="11" l="1"/>
  <c r="K386" i="11"/>
  <c r="E402" i="11"/>
  <c r="D402" i="11"/>
  <c r="M386" i="11" l="1"/>
  <c r="N386" i="11" s="1"/>
  <c r="J387" i="11" s="1"/>
  <c r="L387" i="11" s="1"/>
  <c r="K387" i="11"/>
  <c r="F402" i="11"/>
  <c r="G402" i="11" s="1"/>
  <c r="C403" i="11" s="1"/>
  <c r="M387" i="11" l="1"/>
  <c r="N387" i="11" s="1"/>
  <c r="J388" i="11" s="1"/>
  <c r="K388" i="11" s="1"/>
  <c r="M388" i="11" s="1"/>
  <c r="N388" i="11" s="1"/>
  <c r="J389" i="11" s="1"/>
  <c r="L388" i="11"/>
  <c r="D403" i="11"/>
  <c r="E403" i="11"/>
  <c r="L389" i="11" l="1"/>
  <c r="K389" i="11"/>
  <c r="M389" i="11" s="1"/>
  <c r="N389" i="11" s="1"/>
  <c r="J390" i="11" s="1"/>
  <c r="F403" i="11"/>
  <c r="G403" i="11" s="1"/>
  <c r="C404" i="11" s="1"/>
  <c r="D404" i="11" s="1"/>
  <c r="K390" i="11" l="1"/>
  <c r="L390" i="11"/>
  <c r="E404" i="11"/>
  <c r="F404" i="11" s="1"/>
  <c r="G404" i="11" s="1"/>
  <c r="C405" i="11" s="1"/>
  <c r="D405" i="11" s="1"/>
  <c r="M390" i="11" l="1"/>
  <c r="N390" i="11" s="1"/>
  <c r="J391" i="11" s="1"/>
  <c r="E405" i="11"/>
  <c r="F405" i="11" s="1"/>
  <c r="G405" i="11" s="1"/>
  <c r="C406" i="11" s="1"/>
  <c r="K391" i="11" l="1"/>
  <c r="L391" i="11"/>
  <c r="E406" i="11"/>
  <c r="D406" i="11"/>
  <c r="M391" i="11" l="1"/>
  <c r="N391" i="11" s="1"/>
  <c r="J392" i="11" s="1"/>
  <c r="L392" i="11" s="1"/>
  <c r="F406" i="11"/>
  <c r="G406" i="11" s="1"/>
  <c r="C407" i="11" s="1"/>
  <c r="K392" i="11" l="1"/>
  <c r="M392" i="11" s="1"/>
  <c r="N392" i="11" s="1"/>
  <c r="J393" i="11" s="1"/>
  <c r="D407" i="11"/>
  <c r="E407" i="11"/>
  <c r="L393" i="11" l="1"/>
  <c r="K393" i="11"/>
  <c r="F407" i="11"/>
  <c r="G407" i="11" s="1"/>
  <c r="C408" i="11" s="1"/>
  <c r="M393" i="11" l="1"/>
  <c r="N393" i="11" s="1"/>
  <c r="J394" i="11" s="1"/>
  <c r="L394" i="11" s="1"/>
  <c r="E408" i="11"/>
  <c r="D408" i="11"/>
  <c r="K394" i="11" l="1"/>
  <c r="M394" i="11" s="1"/>
  <c r="N394" i="11" s="1"/>
  <c r="J395" i="11" s="1"/>
  <c r="L395" i="11" s="1"/>
  <c r="F408" i="11"/>
  <c r="G408" i="11" s="1"/>
  <c r="C409" i="11" s="1"/>
  <c r="E409" i="11"/>
  <c r="D409" i="11"/>
  <c r="K395" i="11" l="1"/>
  <c r="M395" i="11" s="1"/>
  <c r="N395" i="11" s="1"/>
  <c r="J396" i="11" s="1"/>
  <c r="F409" i="11"/>
  <c r="G409" i="11" s="1"/>
  <c r="C410" i="11" s="1"/>
  <c r="L396" i="11" l="1"/>
  <c r="K396" i="11"/>
  <c r="E410" i="11"/>
  <c r="D410" i="11"/>
  <c r="F410" i="11" s="1"/>
  <c r="G410" i="11" s="1"/>
  <c r="C411" i="11" s="1"/>
  <c r="M396" i="11" l="1"/>
  <c r="N396" i="11" s="1"/>
  <c r="J397" i="11" s="1"/>
  <c r="K397" i="11"/>
  <c r="L397" i="11"/>
  <c r="D411" i="11"/>
  <c r="E411" i="11"/>
  <c r="M397" i="11" l="1"/>
  <c r="N397" i="11" s="1"/>
  <c r="J398" i="11" s="1"/>
  <c r="K398" i="11" s="1"/>
  <c r="L398" i="11"/>
  <c r="F411" i="11"/>
  <c r="G411" i="11" s="1"/>
  <c r="C412" i="11" s="1"/>
  <c r="D412" i="11" s="1"/>
  <c r="E412" i="11"/>
  <c r="M398" i="11" l="1"/>
  <c r="N398" i="11" s="1"/>
  <c r="J399" i="11" s="1"/>
  <c r="K399" i="11" s="1"/>
  <c r="M399" i="11" s="1"/>
  <c r="N399" i="11" s="1"/>
  <c r="J400" i="11" s="1"/>
  <c r="L399" i="11"/>
  <c r="F412" i="11"/>
  <c r="G412" i="11" s="1"/>
  <c r="C413" i="11" s="1"/>
  <c r="L400" i="11" l="1"/>
  <c r="K400" i="11"/>
  <c r="D413" i="11"/>
  <c r="E413" i="11"/>
  <c r="M400" i="11" l="1"/>
  <c r="N400" i="11" s="1"/>
  <c r="J401" i="11" s="1"/>
  <c r="F413" i="11"/>
  <c r="G413" i="11" s="1"/>
  <c r="C414" i="11" s="1"/>
  <c r="K401" i="11" l="1"/>
  <c r="L401" i="11"/>
  <c r="E414" i="11"/>
  <c r="D414" i="11"/>
  <c r="M401" i="11" l="1"/>
  <c r="N401" i="11" s="1"/>
  <c r="J402" i="11" s="1"/>
  <c r="L402" i="11" s="1"/>
  <c r="F414" i="11"/>
  <c r="G414" i="11" s="1"/>
  <c r="C415" i="11" s="1"/>
  <c r="D415" i="11" s="1"/>
  <c r="K402" i="11" l="1"/>
  <c r="M402" i="11" s="1"/>
  <c r="N402" i="11" s="1"/>
  <c r="J403" i="11" s="1"/>
  <c r="E415" i="11"/>
  <c r="F415" i="11" s="1"/>
  <c r="G415" i="11" s="1"/>
  <c r="C416" i="11" s="1"/>
  <c r="K403" i="11" l="1"/>
  <c r="L403" i="11"/>
  <c r="E416" i="11"/>
  <c r="D416" i="11"/>
  <c r="F416" i="11" s="1"/>
  <c r="G416" i="11" s="1"/>
  <c r="C417" i="11" s="1"/>
  <c r="M403" i="11" l="1"/>
  <c r="N403" i="11" s="1"/>
  <c r="J404" i="11" s="1"/>
  <c r="E417" i="11"/>
  <c r="D417" i="11"/>
  <c r="L404" i="11" l="1"/>
  <c r="K404" i="11"/>
  <c r="F417" i="11"/>
  <c r="G417" i="11" s="1"/>
  <c r="C418" i="11" s="1"/>
  <c r="M404" i="11" l="1"/>
  <c r="N404" i="11" s="1"/>
  <c r="J405" i="11" s="1"/>
  <c r="L405" i="11" s="1"/>
  <c r="E418" i="11"/>
  <c r="D418" i="11"/>
  <c r="K405" i="11" l="1"/>
  <c r="M405" i="11" s="1"/>
  <c r="N405" i="11" s="1"/>
  <c r="J406" i="11" s="1"/>
  <c r="L406" i="11" s="1"/>
  <c r="F418" i="11"/>
  <c r="G418" i="11" s="1"/>
  <c r="C419" i="11" s="1"/>
  <c r="E419" i="11"/>
  <c r="D419" i="11"/>
  <c r="K406" i="11" l="1"/>
  <c r="M406" i="11"/>
  <c r="N406" i="11" s="1"/>
  <c r="J407" i="11" s="1"/>
  <c r="F419" i="11"/>
  <c r="G419" i="11" s="1"/>
  <c r="C420" i="11" s="1"/>
  <c r="D420" i="11" s="1"/>
  <c r="E420" i="11"/>
  <c r="K407" i="11" l="1"/>
  <c r="L407" i="11"/>
  <c r="F420" i="11"/>
  <c r="G420" i="11" s="1"/>
  <c r="C421" i="11" s="1"/>
  <c r="E421" i="11" s="1"/>
  <c r="M407" i="11" l="1"/>
  <c r="N407" i="11" s="1"/>
  <c r="J408" i="11" s="1"/>
  <c r="D421" i="11"/>
  <c r="F421" i="11" s="1"/>
  <c r="G421" i="11" s="1"/>
  <c r="C422" i="11" s="1"/>
  <c r="K408" i="11" l="1"/>
  <c r="L408" i="11"/>
  <c r="D422" i="11"/>
  <c r="E422" i="11"/>
  <c r="M408" i="11" l="1"/>
  <c r="N408" i="11" s="1"/>
  <c r="J409" i="11" s="1"/>
  <c r="F422" i="11"/>
  <c r="G422" i="11" s="1"/>
  <c r="C423" i="11" s="1"/>
  <c r="K409" i="11" l="1"/>
  <c r="L409" i="11"/>
  <c r="E423" i="11"/>
  <c r="D423" i="11"/>
  <c r="M409" i="11" l="1"/>
  <c r="N409" i="11" s="1"/>
  <c r="J410" i="11" s="1"/>
  <c r="F423" i="11"/>
  <c r="G423" i="11" s="1"/>
  <c r="C424" i="11" s="1"/>
  <c r="L410" i="11" l="1"/>
  <c r="K410" i="11"/>
  <c r="D424" i="11"/>
  <c r="E424" i="11"/>
  <c r="M410" i="11" l="1"/>
  <c r="N410" i="11" s="1"/>
  <c r="J411" i="11" s="1"/>
  <c r="F424" i="11"/>
  <c r="G424" i="11" s="1"/>
  <c r="C425" i="11" s="1"/>
  <c r="E425" i="11" s="1"/>
  <c r="D425" i="11"/>
  <c r="L411" i="11" l="1"/>
  <c r="K411" i="11"/>
  <c r="M411" i="11" s="1"/>
  <c r="N411" i="11" s="1"/>
  <c r="J412" i="11" s="1"/>
  <c r="F425" i="11"/>
  <c r="G425" i="11" s="1"/>
  <c r="C426" i="11" s="1"/>
  <c r="L412" i="11" l="1"/>
  <c r="K412" i="11"/>
  <c r="D426" i="11"/>
  <c r="E426" i="11"/>
  <c r="M412" i="11" l="1"/>
  <c r="N412" i="11" s="1"/>
  <c r="J413" i="11" s="1"/>
  <c r="K413" i="11" s="1"/>
  <c r="F426" i="11"/>
  <c r="G426" i="11" s="1"/>
  <c r="C427" i="11" s="1"/>
  <c r="D427" i="11" s="1"/>
  <c r="E427" i="11"/>
  <c r="L413" i="11" l="1"/>
  <c r="M413" i="11"/>
  <c r="N413" i="11" s="1"/>
  <c r="J414" i="11" s="1"/>
  <c r="F427" i="11"/>
  <c r="G427" i="11" s="1"/>
  <c r="C428" i="11" s="1"/>
  <c r="D428" i="11"/>
  <c r="E428" i="11"/>
  <c r="L414" i="11" l="1"/>
  <c r="K414" i="11"/>
  <c r="M414" i="11" s="1"/>
  <c r="N414" i="11" s="1"/>
  <c r="J415" i="11" s="1"/>
  <c r="F428" i="11"/>
  <c r="G428" i="11" s="1"/>
  <c r="C429" i="11" s="1"/>
  <c r="L415" i="11" l="1"/>
  <c r="K415" i="11"/>
  <c r="E429" i="11"/>
  <c r="D429" i="11"/>
  <c r="M415" i="11" l="1"/>
  <c r="N415" i="11" s="1"/>
  <c r="J416" i="11" s="1"/>
  <c r="L416" i="11" s="1"/>
  <c r="F429" i="11"/>
  <c r="G429" i="11" s="1"/>
  <c r="C430" i="11" s="1"/>
  <c r="D430" i="11"/>
  <c r="E430" i="11"/>
  <c r="K416" i="11" l="1"/>
  <c r="M416" i="11" s="1"/>
  <c r="N416" i="11" s="1"/>
  <c r="J417" i="11" s="1"/>
  <c r="L417" i="11" s="1"/>
  <c r="F430" i="11"/>
  <c r="G430" i="11" s="1"/>
  <c r="C431" i="11" s="1"/>
  <c r="E431" i="11"/>
  <c r="D431" i="11"/>
  <c r="K417" i="11" l="1"/>
  <c r="M417" i="11" s="1"/>
  <c r="N417" i="11" s="1"/>
  <c r="J418" i="11" s="1"/>
  <c r="L418" i="11" s="1"/>
  <c r="F431" i="11"/>
  <c r="G431" i="11" s="1"/>
  <c r="C432" i="11" s="1"/>
  <c r="D432" i="11"/>
  <c r="E432" i="11"/>
  <c r="K418" i="11" l="1"/>
  <c r="M418" i="11" s="1"/>
  <c r="N418" i="11" s="1"/>
  <c r="J419" i="11" s="1"/>
  <c r="L419" i="11" s="1"/>
  <c r="F432" i="11"/>
  <c r="G432" i="11" s="1"/>
  <c r="C433" i="11" s="1"/>
  <c r="K419" i="11" l="1"/>
  <c r="M419" i="11" s="1"/>
  <c r="N419" i="11" s="1"/>
  <c r="J420" i="11" s="1"/>
  <c r="E433" i="11"/>
  <c r="D433" i="11"/>
  <c r="F433" i="11" s="1"/>
  <c r="G433" i="11" s="1"/>
  <c r="C434" i="11" s="1"/>
  <c r="K420" i="11" l="1"/>
  <c r="L420" i="11"/>
  <c r="D434" i="11"/>
  <c r="E434" i="11"/>
  <c r="M420" i="11" l="1"/>
  <c r="N420" i="11" s="1"/>
  <c r="J421" i="11" s="1"/>
  <c r="F434" i="11"/>
  <c r="G434" i="11" s="1"/>
  <c r="C435" i="11" s="1"/>
  <c r="L421" i="11" l="1"/>
  <c r="K421" i="11"/>
  <c r="E435" i="11"/>
  <c r="D435" i="11"/>
  <c r="M421" i="11" l="1"/>
  <c r="N421" i="11" s="1"/>
  <c r="J422" i="11" s="1"/>
  <c r="L422" i="11" s="1"/>
  <c r="F435" i="11"/>
  <c r="G435" i="11" s="1"/>
  <c r="C436" i="11" s="1"/>
  <c r="D436" i="11" s="1"/>
  <c r="K422" i="11" l="1"/>
  <c r="M422" i="11" s="1"/>
  <c r="N422" i="11" s="1"/>
  <c r="J423" i="11" s="1"/>
  <c r="L423" i="11" s="1"/>
  <c r="E436" i="11"/>
  <c r="F436" i="11" s="1"/>
  <c r="G436" i="11" s="1"/>
  <c r="C437" i="11" s="1"/>
  <c r="K423" i="11" l="1"/>
  <c r="M423" i="11" s="1"/>
  <c r="N423" i="11" s="1"/>
  <c r="J424" i="11" s="1"/>
  <c r="K424" i="11" s="1"/>
  <c r="E437" i="11"/>
  <c r="D437" i="11"/>
  <c r="L424" i="11" l="1"/>
  <c r="M424" i="11" s="1"/>
  <c r="N424" i="11" s="1"/>
  <c r="J425" i="11" s="1"/>
  <c r="F437" i="11"/>
  <c r="G437" i="11" s="1"/>
  <c r="C438" i="11" s="1"/>
  <c r="D438" i="11" s="1"/>
  <c r="K425" i="11" l="1"/>
  <c r="M425" i="11" s="1"/>
  <c r="N425" i="11" s="1"/>
  <c r="J426" i="11" s="1"/>
  <c r="L425" i="11"/>
  <c r="E438" i="11"/>
  <c r="F438" i="11" s="1"/>
  <c r="G438" i="11" s="1"/>
  <c r="C439" i="11" s="1"/>
  <c r="K426" i="11" l="1"/>
  <c r="L426" i="11"/>
  <c r="E439" i="11"/>
  <c r="D439" i="11"/>
  <c r="F439" i="11" s="1"/>
  <c r="G439" i="11" s="1"/>
  <c r="C440" i="11" s="1"/>
  <c r="M426" i="11" l="1"/>
  <c r="N426" i="11" s="1"/>
  <c r="J427" i="11" s="1"/>
  <c r="D440" i="11"/>
  <c r="E440" i="11"/>
  <c r="K427" i="11" l="1"/>
  <c r="L427" i="11"/>
  <c r="F440" i="11"/>
  <c r="G440" i="11" s="1"/>
  <c r="C441" i="11" s="1"/>
  <c r="M427" i="11" l="1"/>
  <c r="N427" i="11" s="1"/>
  <c r="J428" i="11" s="1"/>
  <c r="K428" i="11"/>
  <c r="L428" i="11"/>
  <c r="E441" i="11"/>
  <c r="D441" i="11"/>
  <c r="M428" i="11" l="1"/>
  <c r="N428" i="11" s="1"/>
  <c r="J429" i="11" s="1"/>
  <c r="F441" i="11"/>
  <c r="G441" i="11" s="1"/>
  <c r="C442" i="11" s="1"/>
  <c r="D442" i="11" s="1"/>
  <c r="L429" i="11" l="1"/>
  <c r="K429" i="11"/>
  <c r="E442" i="11"/>
  <c r="F442" i="11" s="1"/>
  <c r="G442" i="11" s="1"/>
  <c r="C443" i="11" s="1"/>
  <c r="E443" i="11" s="1"/>
  <c r="M429" i="11" l="1"/>
  <c r="N429" i="11" s="1"/>
  <c r="J430" i="11" s="1"/>
  <c r="K430" i="11"/>
  <c r="M430" i="11" s="1"/>
  <c r="N430" i="11" s="1"/>
  <c r="J431" i="11" s="1"/>
  <c r="L430" i="11"/>
  <c r="D443" i="11"/>
  <c r="F443" i="11" s="1"/>
  <c r="G443" i="11" s="1"/>
  <c r="C444" i="11" s="1"/>
  <c r="L431" i="11" l="1"/>
  <c r="K431" i="11"/>
  <c r="M431" i="11" s="1"/>
  <c r="N431" i="11" s="1"/>
  <c r="J432" i="11" s="1"/>
  <c r="D444" i="11"/>
  <c r="E444" i="11"/>
  <c r="F444" i="11" s="1"/>
  <c r="G444" i="11" s="1"/>
  <c r="C445" i="11" s="1"/>
  <c r="K432" i="11" l="1"/>
  <c r="L432" i="11"/>
  <c r="E445" i="11"/>
  <c r="D445" i="11"/>
  <c r="M432" i="11" l="1"/>
  <c r="N432" i="11" s="1"/>
  <c r="J433" i="11" s="1"/>
  <c r="F445" i="11"/>
  <c r="G445" i="11" s="1"/>
  <c r="C446" i="11" s="1"/>
  <c r="D446" i="11" s="1"/>
  <c r="E446" i="11"/>
  <c r="K433" i="11" l="1"/>
  <c r="L433" i="11"/>
  <c r="F446" i="11"/>
  <c r="G446" i="11" s="1"/>
  <c r="C447" i="11" s="1"/>
  <c r="M433" i="11" l="1"/>
  <c r="N433" i="11" s="1"/>
  <c r="J434" i="11" s="1"/>
  <c r="D447" i="11"/>
  <c r="E447" i="11"/>
  <c r="K434" i="11" l="1"/>
  <c r="L434" i="11"/>
  <c r="F447" i="11"/>
  <c r="G447" i="11" s="1"/>
  <c r="C448" i="11" s="1"/>
  <c r="M434" i="11" l="1"/>
  <c r="N434" i="11" s="1"/>
  <c r="J435" i="11" s="1"/>
  <c r="E448" i="11"/>
  <c r="D448" i="11"/>
  <c r="L435" i="11" l="1"/>
  <c r="K435" i="11"/>
  <c r="F448" i="11"/>
  <c r="G448" i="11" s="1"/>
  <c r="C449" i="11" s="1"/>
  <c r="M435" i="11" l="1"/>
  <c r="N435" i="11" s="1"/>
  <c r="J436" i="11" s="1"/>
  <c r="D449" i="11"/>
  <c r="E449" i="11"/>
  <c r="K436" i="11" l="1"/>
  <c r="L436" i="11"/>
  <c r="F449" i="11"/>
  <c r="G449" i="11" s="1"/>
  <c r="C450" i="11" s="1"/>
  <c r="M436" i="11" l="1"/>
  <c r="N436" i="11" s="1"/>
  <c r="J437" i="11" s="1"/>
  <c r="K437" i="11" s="1"/>
  <c r="L437" i="11"/>
  <c r="E450" i="11"/>
  <c r="D450" i="11"/>
  <c r="F450" i="11" s="1"/>
  <c r="G450" i="11" s="1"/>
  <c r="C451" i="11" s="1"/>
  <c r="M437" i="11" l="1"/>
  <c r="N437" i="11" s="1"/>
  <c r="J438" i="11" s="1"/>
  <c r="L438" i="11" s="1"/>
  <c r="D451" i="11"/>
  <c r="E451" i="11"/>
  <c r="K438" i="11" l="1"/>
  <c r="M438" i="11"/>
  <c r="N438" i="11" s="1"/>
  <c r="J439" i="11" s="1"/>
  <c r="F451" i="11"/>
  <c r="G451" i="11" s="1"/>
  <c r="C452" i="11" s="1"/>
  <c r="K439" i="11" l="1"/>
  <c r="L439" i="11"/>
  <c r="E452" i="11"/>
  <c r="D452" i="11"/>
  <c r="F452" i="11" s="1"/>
  <c r="G452" i="11" s="1"/>
  <c r="C453" i="11" s="1"/>
  <c r="M439" i="11" l="1"/>
  <c r="N439" i="11" s="1"/>
  <c r="J440" i="11" s="1"/>
  <c r="D453" i="11"/>
  <c r="E453" i="11"/>
  <c r="L440" i="11" l="1"/>
  <c r="K440" i="11"/>
  <c r="F453" i="11"/>
  <c r="G453" i="11" s="1"/>
  <c r="C454" i="11" s="1"/>
  <c r="M440" i="11" l="1"/>
  <c r="N440" i="11" s="1"/>
  <c r="J441" i="11" s="1"/>
  <c r="D454" i="11"/>
  <c r="E454" i="11"/>
  <c r="L441" i="11" l="1"/>
  <c r="K441" i="11"/>
  <c r="F454" i="11"/>
  <c r="G454" i="11" s="1"/>
  <c r="C455" i="11" s="1"/>
  <c r="M441" i="11" l="1"/>
  <c r="N441" i="11" s="1"/>
  <c r="J442" i="11" s="1"/>
  <c r="E455" i="11"/>
  <c r="D455" i="11"/>
  <c r="F455" i="11" s="1"/>
  <c r="G455" i="11" s="1"/>
  <c r="C456" i="11" s="1"/>
  <c r="K442" i="11" l="1"/>
  <c r="L442" i="11"/>
  <c r="E456" i="11"/>
  <c r="D456" i="11"/>
  <c r="M442" i="11" l="1"/>
  <c r="N442" i="11" s="1"/>
  <c r="J443" i="11" s="1"/>
  <c r="F456" i="11"/>
  <c r="G456" i="11" s="1"/>
  <c r="C457" i="11" s="1"/>
  <c r="L443" i="11" l="1"/>
  <c r="K443" i="11"/>
  <c r="E457" i="11"/>
  <c r="D457" i="11"/>
  <c r="M443" i="11" l="1"/>
  <c r="N443" i="11" s="1"/>
  <c r="J444" i="11" s="1"/>
  <c r="K444" i="11" s="1"/>
  <c r="F457" i="11"/>
  <c r="G457" i="11" s="1"/>
  <c r="C458" i="11" s="1"/>
  <c r="L444" i="11" l="1"/>
  <c r="M444" i="11"/>
  <c r="N444" i="11" s="1"/>
  <c r="J445" i="11" s="1"/>
  <c r="D458" i="11"/>
  <c r="E458" i="11"/>
  <c r="L445" i="11" l="1"/>
  <c r="K445" i="11"/>
  <c r="F458" i="11"/>
  <c r="G458" i="11" s="1"/>
  <c r="C459" i="11" s="1"/>
  <c r="E459" i="11" s="1"/>
  <c r="D459" i="11" l="1"/>
  <c r="F459" i="11" s="1"/>
  <c r="G459" i="11" s="1"/>
  <c r="C460" i="11" s="1"/>
  <c r="M445" i="11"/>
  <c r="N445" i="11" s="1"/>
  <c r="J446" i="11" s="1"/>
  <c r="E460" i="11" l="1"/>
  <c r="D460" i="11"/>
  <c r="F460" i="11" s="1"/>
  <c r="G460" i="11" s="1"/>
  <c r="C461" i="11" s="1"/>
  <c r="K446" i="11"/>
  <c r="L446" i="11"/>
  <c r="M446" i="11" l="1"/>
  <c r="N446" i="11" s="1"/>
  <c r="J447" i="11" s="1"/>
  <c r="E461" i="11"/>
  <c r="D461" i="11"/>
  <c r="F461" i="11" s="1"/>
  <c r="G461" i="11" s="1"/>
  <c r="C462" i="11" s="1"/>
  <c r="K447" i="11" l="1"/>
  <c r="M447" i="11" s="1"/>
  <c r="N447" i="11" s="1"/>
  <c r="J448" i="11" s="1"/>
  <c r="L447" i="11"/>
  <c r="D462" i="11"/>
  <c r="E462" i="11"/>
  <c r="L448" i="11" l="1"/>
  <c r="K448" i="11"/>
  <c r="F462" i="11"/>
  <c r="G462" i="11" s="1"/>
  <c r="C463" i="11" s="1"/>
  <c r="M448" i="11" l="1"/>
  <c r="N448" i="11" s="1"/>
  <c r="J449" i="11" s="1"/>
  <c r="E463" i="11"/>
  <c r="D463" i="11"/>
  <c r="L449" i="11" l="1"/>
  <c r="K449" i="11"/>
  <c r="F463" i="11"/>
  <c r="G463" i="11" s="1"/>
  <c r="C464" i="11" s="1"/>
  <c r="E464" i="11" s="1"/>
  <c r="D464" i="11"/>
  <c r="M449" i="11" l="1"/>
  <c r="N449" i="11" s="1"/>
  <c r="J450" i="11" s="1"/>
  <c r="F464" i="11"/>
  <c r="G464" i="11" s="1"/>
  <c r="C465" i="11" s="1"/>
  <c r="L450" i="11" l="1"/>
  <c r="K450" i="11"/>
  <c r="M450" i="11" s="1"/>
  <c r="N450" i="11" s="1"/>
  <c r="J451" i="11" s="1"/>
  <c r="D465" i="11"/>
  <c r="E465" i="11"/>
  <c r="K451" i="11" l="1"/>
  <c r="L451" i="11"/>
  <c r="F465" i="11"/>
  <c r="G465" i="11" s="1"/>
  <c r="C466" i="11" s="1"/>
  <c r="M451" i="11" l="1"/>
  <c r="N451" i="11" s="1"/>
  <c r="J452" i="11" s="1"/>
  <c r="L452" i="11" s="1"/>
  <c r="D466" i="11"/>
  <c r="E466" i="11"/>
  <c r="K452" i="11" l="1"/>
  <c r="M452" i="11" s="1"/>
  <c r="N452" i="11" s="1"/>
  <c r="J453" i="11" s="1"/>
  <c r="F466" i="11"/>
  <c r="G466" i="11" s="1"/>
  <c r="C467" i="11" s="1"/>
  <c r="D467" i="11" s="1"/>
  <c r="E467" i="11"/>
  <c r="L453" i="11" l="1"/>
  <c r="K453" i="11"/>
  <c r="F467" i="11"/>
  <c r="G467" i="11" s="1"/>
  <c r="C468" i="11" s="1"/>
  <c r="M453" i="11" l="1"/>
  <c r="N453" i="11" s="1"/>
  <c r="J454" i="11" s="1"/>
  <c r="L454" i="11" s="1"/>
  <c r="D468" i="11"/>
  <c r="E468" i="11"/>
  <c r="K454" i="11" l="1"/>
  <c r="M454" i="11" s="1"/>
  <c r="N454" i="11" s="1"/>
  <c r="J455" i="11" s="1"/>
  <c r="F468" i="11"/>
  <c r="G468" i="11" s="1"/>
  <c r="C469" i="11" s="1"/>
  <c r="L455" i="11" l="1"/>
  <c r="K455" i="11"/>
  <c r="D469" i="11"/>
  <c r="E469" i="11"/>
  <c r="M455" i="11" l="1"/>
  <c r="N455" i="11" s="1"/>
  <c r="J456" i="11" s="1"/>
  <c r="F469" i="11"/>
  <c r="G469" i="11" s="1"/>
  <c r="C470" i="11" s="1"/>
  <c r="L456" i="11" l="1"/>
  <c r="K456" i="11"/>
  <c r="E470" i="11"/>
  <c r="D470" i="11"/>
  <c r="M456" i="11" l="1"/>
  <c r="N456" i="11" s="1"/>
  <c r="J457" i="11" s="1"/>
  <c r="K457" i="11" s="1"/>
  <c r="F470" i="11"/>
  <c r="G470" i="11" s="1"/>
  <c r="C471" i="11" s="1"/>
  <c r="E471" i="11" s="1"/>
  <c r="L457" i="11" l="1"/>
  <c r="M457" i="11" s="1"/>
  <c r="N457" i="11" s="1"/>
  <c r="J458" i="11" s="1"/>
  <c r="D471" i="11"/>
  <c r="F471" i="11" s="1"/>
  <c r="G471" i="11" s="1"/>
  <c r="C472" i="11" s="1"/>
  <c r="K458" i="11" l="1"/>
  <c r="L458" i="11"/>
  <c r="D472" i="11"/>
  <c r="E472" i="11"/>
  <c r="M458" i="11" l="1"/>
  <c r="N458" i="11" s="1"/>
  <c r="J459" i="11" s="1"/>
  <c r="F472" i="11"/>
  <c r="G472" i="11" s="1"/>
  <c r="C473" i="11" s="1"/>
  <c r="L459" i="11" l="1"/>
  <c r="K459" i="11"/>
  <c r="M459" i="11" s="1"/>
  <c r="N459" i="11" s="1"/>
  <c r="J460" i="11" s="1"/>
  <c r="L460" i="11" s="1"/>
  <c r="D473" i="11"/>
  <c r="E473" i="11"/>
  <c r="K460" i="11" l="1"/>
  <c r="M460" i="11" s="1"/>
  <c r="N460" i="11" s="1"/>
  <c r="J461" i="11" s="1"/>
  <c r="F473" i="11"/>
  <c r="G473" i="11" s="1"/>
  <c r="C474" i="11" s="1"/>
  <c r="D474" i="11" s="1"/>
  <c r="E474" i="11" l="1"/>
  <c r="F474" i="11" s="1"/>
  <c r="G474" i="11" s="1"/>
  <c r="C475" i="11" s="1"/>
  <c r="L461" i="11"/>
  <c r="K461" i="11"/>
  <c r="M461" i="11" l="1"/>
  <c r="N461" i="11" s="1"/>
  <c r="J462" i="11" s="1"/>
  <c r="E475" i="11"/>
  <c r="D475" i="11"/>
  <c r="F475" i="11" l="1"/>
  <c r="G475" i="11" s="1"/>
  <c r="C476" i="11" s="1"/>
  <c r="E476" i="11" s="1"/>
  <c r="K462" i="11"/>
  <c r="L462" i="11"/>
  <c r="D476" i="11" l="1"/>
  <c r="F476" i="11" s="1"/>
  <c r="G476" i="11" s="1"/>
  <c r="C477" i="11" s="1"/>
  <c r="E477" i="11" s="1"/>
  <c r="M462" i="11"/>
  <c r="N462" i="11" s="1"/>
  <c r="J463" i="11" s="1"/>
  <c r="D477" i="11" l="1"/>
  <c r="F477" i="11" s="1"/>
  <c r="G477" i="11" s="1"/>
  <c r="C478" i="11" s="1"/>
  <c r="D478" i="11" s="1"/>
  <c r="L463" i="11"/>
  <c r="K463" i="11"/>
  <c r="E478" i="11" l="1"/>
  <c r="F478" i="11" s="1"/>
  <c r="G478" i="11" s="1"/>
  <c r="C479" i="11" s="1"/>
  <c r="M463" i="11"/>
  <c r="N463" i="11" s="1"/>
  <c r="J464" i="11" s="1"/>
  <c r="L464" i="11" l="1"/>
  <c r="K464" i="11"/>
  <c r="D479" i="11"/>
  <c r="E479" i="11"/>
  <c r="M464" i="11" l="1"/>
  <c r="N464" i="11" s="1"/>
  <c r="J465" i="11" s="1"/>
  <c r="K465" i="11"/>
  <c r="L465" i="11"/>
  <c r="F479" i="11"/>
  <c r="G479" i="11" s="1"/>
  <c r="C480" i="11" s="1"/>
  <c r="M465" i="11" l="1"/>
  <c r="N465" i="11" s="1"/>
  <c r="J466" i="11" s="1"/>
  <c r="K466" i="11"/>
  <c r="L466" i="11"/>
  <c r="E480" i="11"/>
  <c r="D480" i="11"/>
  <c r="M466" i="11" l="1"/>
  <c r="N466" i="11" s="1"/>
  <c r="J467" i="11" s="1"/>
  <c r="K467" i="11"/>
  <c r="L467" i="11"/>
  <c r="F480" i="11"/>
  <c r="G480" i="11" s="1"/>
  <c r="C481" i="11" s="1"/>
  <c r="D481" i="11"/>
  <c r="E481" i="11"/>
  <c r="M467" i="11" l="1"/>
  <c r="N467" i="11" s="1"/>
  <c r="J468" i="11" s="1"/>
  <c r="L468" i="11" s="1"/>
  <c r="F481" i="11"/>
  <c r="G481" i="11" s="1"/>
  <c r="C482" i="11" s="1"/>
  <c r="E482" i="11" s="1"/>
  <c r="K468" i="11" l="1"/>
  <c r="M468" i="11"/>
  <c r="N468" i="11" s="1"/>
  <c r="J469" i="11" s="1"/>
  <c r="D482" i="11"/>
  <c r="F482" i="11" s="1"/>
  <c r="G482" i="11" s="1"/>
  <c r="C483" i="11" s="1"/>
  <c r="K469" i="11" l="1"/>
  <c r="L469" i="11"/>
  <c r="D483" i="11"/>
  <c r="E483" i="11"/>
  <c r="M469" i="11" l="1"/>
  <c r="N469" i="11" s="1"/>
  <c r="J470" i="11" s="1"/>
  <c r="L470" i="11" s="1"/>
  <c r="K470" i="11"/>
  <c r="F483" i="11"/>
  <c r="G483" i="11" s="1"/>
  <c r="C484" i="11" s="1"/>
  <c r="M470" i="11" l="1"/>
  <c r="N470" i="11" s="1"/>
  <c r="J471" i="11" s="1"/>
  <c r="E484" i="11"/>
  <c r="D484" i="11"/>
  <c r="K471" i="11" l="1"/>
  <c r="L471" i="11"/>
  <c r="F484" i="11"/>
  <c r="G484" i="11" s="1"/>
  <c r="C485" i="11" s="1"/>
  <c r="E485" i="11" s="1"/>
  <c r="D485" i="11"/>
  <c r="M471" i="11" l="1"/>
  <c r="N471" i="11" s="1"/>
  <c r="J472" i="11" s="1"/>
  <c r="F485" i="11"/>
  <c r="G485" i="11" s="1"/>
  <c r="C486" i="11" s="1"/>
  <c r="D486" i="11" s="1"/>
  <c r="E486" i="11"/>
  <c r="L472" i="11" l="1"/>
  <c r="K472" i="11"/>
  <c r="F486" i="11"/>
  <c r="G486" i="11" s="1"/>
  <c r="C487" i="11" s="1"/>
  <c r="M472" i="11" l="1"/>
  <c r="N472" i="11" s="1"/>
  <c r="J473" i="11" s="1"/>
  <c r="K473" i="11" s="1"/>
  <c r="L473" i="11"/>
  <c r="E487" i="11"/>
  <c r="D487" i="11"/>
  <c r="M473" i="11" l="1"/>
  <c r="N473" i="11" s="1"/>
  <c r="J474" i="11" s="1"/>
  <c r="L474" i="11" s="1"/>
  <c r="F487" i="11"/>
  <c r="G487" i="11" s="1"/>
  <c r="C488" i="11" s="1"/>
  <c r="D488" i="11"/>
  <c r="E488" i="11"/>
  <c r="K474" i="11" l="1"/>
  <c r="M474" i="11" s="1"/>
  <c r="N474" i="11" s="1"/>
  <c r="J475" i="11" s="1"/>
  <c r="K475" i="11" s="1"/>
  <c r="F488" i="11"/>
  <c r="G488" i="11" s="1"/>
  <c r="C489" i="11" s="1"/>
  <c r="L475" i="11" l="1"/>
  <c r="M475" i="11" s="1"/>
  <c r="N475" i="11" s="1"/>
  <c r="J476" i="11" s="1"/>
  <c r="D489" i="11"/>
  <c r="E489" i="11"/>
  <c r="K476" i="11" l="1"/>
  <c r="L476" i="11"/>
  <c r="F489" i="11"/>
  <c r="G489" i="11" s="1"/>
  <c r="M476" i="11" l="1"/>
  <c r="N476" i="11" s="1"/>
  <c r="J477" i="11" s="1"/>
  <c r="K477" i="11" l="1"/>
  <c r="L477" i="11"/>
  <c r="M477" i="11" l="1"/>
  <c r="N477" i="11" s="1"/>
  <c r="J478" i="11" s="1"/>
  <c r="K478" i="11" l="1"/>
  <c r="L478" i="11"/>
  <c r="M478" i="11" l="1"/>
  <c r="N478" i="11" s="1"/>
  <c r="J479" i="11" s="1"/>
  <c r="L479" i="11" l="1"/>
  <c r="K479" i="11"/>
  <c r="M479" i="11" s="1"/>
  <c r="N479" i="11" s="1"/>
  <c r="J480" i="11" s="1"/>
  <c r="L480" i="11" l="1"/>
  <c r="K480" i="11"/>
  <c r="M480" i="11" l="1"/>
  <c r="N480" i="11" s="1"/>
  <c r="J481" i="11" s="1"/>
  <c r="K481" i="11" s="1"/>
  <c r="M481" i="11" l="1"/>
  <c r="N481" i="11" s="1"/>
  <c r="J482" i="11" s="1"/>
  <c r="L482" i="11" s="1"/>
  <c r="L481" i="11"/>
  <c r="K482" i="11" l="1"/>
  <c r="M482" i="11" s="1"/>
  <c r="N482" i="11" s="1"/>
  <c r="J483" i="11" s="1"/>
  <c r="K483" i="11" s="1"/>
  <c r="L483" i="11" l="1"/>
  <c r="M483" i="11" s="1"/>
  <c r="N483" i="11" s="1"/>
  <c r="J484" i="11" s="1"/>
  <c r="L484" i="11" l="1"/>
  <c r="K484" i="11"/>
  <c r="M484" i="11" s="1"/>
  <c r="N484" i="11" s="1"/>
  <c r="J485" i="11" s="1"/>
  <c r="L485" i="11" s="1"/>
  <c r="K485" i="11" l="1"/>
  <c r="M485" i="11"/>
  <c r="N485" i="11" s="1"/>
  <c r="J486" i="11" s="1"/>
  <c r="L486" i="11" s="1"/>
  <c r="K486" i="11" l="1"/>
  <c r="M486" i="11" s="1"/>
  <c r="N486" i="11" s="1"/>
  <c r="J487" i="11" s="1"/>
  <c r="L487" i="11" l="1"/>
  <c r="K487" i="11"/>
  <c r="M487" i="11" s="1"/>
  <c r="N487" i="11" s="1"/>
  <c r="J488" i="11" s="1"/>
  <c r="L488" i="11" l="1"/>
  <c r="K488" i="11"/>
  <c r="M488" i="11" l="1"/>
  <c r="N488" i="11" s="1"/>
  <c r="J489" i="11" s="1"/>
  <c r="L489" i="11" l="1"/>
  <c r="K489" i="11"/>
  <c r="M489" i="11" s="1"/>
  <c r="N489" i="11" s="1"/>
  <c r="N41" i="5" l="1"/>
  <c r="O41" i="5"/>
  <c r="P41" i="5"/>
  <c r="Q41" i="5"/>
  <c r="R41" i="5"/>
  <c r="N8" i="5"/>
  <c r="O8" i="5"/>
  <c r="P8" i="5"/>
  <c r="L17" i="9" s="1"/>
  <c r="Q8" i="5"/>
  <c r="R8" i="5"/>
  <c r="N9" i="5"/>
  <c r="O9" i="5"/>
  <c r="P9" i="5"/>
  <c r="Q9" i="5"/>
  <c r="R9" i="5"/>
  <c r="N10" i="5"/>
  <c r="O10" i="5"/>
  <c r="P10" i="5"/>
  <c r="Q10" i="5"/>
  <c r="R10" i="5"/>
  <c r="N17" i="5"/>
  <c r="N16" i="5" s="1"/>
  <c r="O17" i="5"/>
  <c r="O16" i="5" s="1"/>
  <c r="K21" i="9" s="1"/>
  <c r="N84" i="2"/>
  <c r="M84" i="2"/>
  <c r="M86" i="2"/>
  <c r="I29" i="3"/>
  <c r="M90" i="2" s="1"/>
  <c r="H17" i="4"/>
  <c r="I17" i="4"/>
  <c r="J17" i="4"/>
  <c r="K17" i="4"/>
  <c r="L17" i="4"/>
  <c r="D28" i="7"/>
  <c r="M29" i="2"/>
  <c r="N29" i="2"/>
  <c r="O29" i="2"/>
  <c r="P17" i="5" s="1"/>
  <c r="P16" i="5" s="1"/>
  <c r="P29" i="2"/>
  <c r="Q17" i="5" s="1"/>
  <c r="Q16" i="5" s="1"/>
  <c r="Q29" i="2"/>
  <c r="R17" i="5" s="1"/>
  <c r="R16" i="5" s="1"/>
  <c r="N21" i="9" s="1"/>
  <c r="M30" i="2"/>
  <c r="N30" i="2"/>
  <c r="O30" i="2"/>
  <c r="P30" i="2"/>
  <c r="Q30" i="2"/>
  <c r="M31" i="2"/>
  <c r="N31" i="2"/>
  <c r="O31" i="2"/>
  <c r="P31" i="2"/>
  <c r="Q31" i="2"/>
  <c r="O33" i="2"/>
  <c r="M83" i="2"/>
  <c r="M85" i="2"/>
  <c r="M87" i="2"/>
  <c r="M88" i="2"/>
  <c r="M89" i="2"/>
  <c r="M2" i="2"/>
  <c r="N2" i="2"/>
  <c r="O2" i="2"/>
  <c r="P2" i="2"/>
  <c r="Q2" i="2"/>
  <c r="H10" i="4"/>
  <c r="H11" i="4"/>
  <c r="W4" i="1"/>
  <c r="X4" i="1"/>
  <c r="Y4" i="1"/>
  <c r="Z4" i="1"/>
  <c r="AA4" i="1"/>
  <c r="L6" i="1"/>
  <c r="I5" i="7" s="1"/>
  <c r="M6" i="1"/>
  <c r="N36" i="2" s="1"/>
  <c r="N6" i="1"/>
  <c r="O36" i="2" s="1"/>
  <c r="O6" i="1"/>
  <c r="P36" i="2" s="1"/>
  <c r="P6" i="1"/>
  <c r="Q36" i="2" s="1"/>
  <c r="L7" i="1"/>
  <c r="M37" i="2" s="1"/>
  <c r="M7" i="1"/>
  <c r="J6" i="7" s="1"/>
  <c r="N7" i="1"/>
  <c r="K6" i="7" s="1"/>
  <c r="O7" i="1"/>
  <c r="L6" i="7" s="1"/>
  <c r="P7" i="1"/>
  <c r="Q37" i="2" s="1"/>
  <c r="L8" i="1"/>
  <c r="M38" i="2" s="1"/>
  <c r="M8" i="1"/>
  <c r="N38" i="2" s="1"/>
  <c r="N8" i="1"/>
  <c r="O38" i="2" s="1"/>
  <c r="O8" i="1"/>
  <c r="P38" i="2" s="1"/>
  <c r="P8" i="1"/>
  <c r="Q38" i="2" s="1"/>
  <c r="L9" i="1"/>
  <c r="M39" i="2" s="1"/>
  <c r="M9" i="1"/>
  <c r="N39" i="2" s="1"/>
  <c r="N9" i="1"/>
  <c r="O39" i="2" s="1"/>
  <c r="O9" i="1"/>
  <c r="P39" i="2" s="1"/>
  <c r="P9" i="1"/>
  <c r="Q39" i="2" s="1"/>
  <c r="L10" i="1"/>
  <c r="M40" i="2" s="1"/>
  <c r="M10" i="1"/>
  <c r="N40" i="2" s="1"/>
  <c r="N10" i="1"/>
  <c r="O40" i="2" s="1"/>
  <c r="O10" i="1"/>
  <c r="P40" i="2" s="1"/>
  <c r="P10" i="1"/>
  <c r="Q40" i="2" s="1"/>
  <c r="L11" i="1"/>
  <c r="M41" i="2" s="1"/>
  <c r="M11" i="1"/>
  <c r="N41" i="2" s="1"/>
  <c r="N11" i="1"/>
  <c r="O41" i="2" s="1"/>
  <c r="O11" i="1"/>
  <c r="P41" i="2" s="1"/>
  <c r="P11" i="1"/>
  <c r="Q41" i="2" s="1"/>
  <c r="L12" i="1"/>
  <c r="I7" i="7" s="1"/>
  <c r="M12" i="1"/>
  <c r="J7" i="7" s="1"/>
  <c r="N12" i="1"/>
  <c r="K7" i="7" s="1"/>
  <c r="O12" i="1"/>
  <c r="P42" i="2" s="1"/>
  <c r="P12" i="1"/>
  <c r="M7" i="7" s="1"/>
  <c r="L13" i="1"/>
  <c r="M13" i="1"/>
  <c r="N13" i="1"/>
  <c r="O13" i="1"/>
  <c r="P13" i="1"/>
  <c r="L14" i="1"/>
  <c r="I8" i="7" s="1"/>
  <c r="M14" i="1"/>
  <c r="N44" i="2" s="1"/>
  <c r="N14" i="1"/>
  <c r="O44" i="2" s="1"/>
  <c r="O14" i="1"/>
  <c r="P44" i="2" s="1"/>
  <c r="P14" i="1"/>
  <c r="Q44" i="2" s="1"/>
  <c r="L15" i="1"/>
  <c r="M15" i="1"/>
  <c r="N15" i="1"/>
  <c r="O15" i="1"/>
  <c r="P15" i="1"/>
  <c r="L16" i="1"/>
  <c r="I10" i="7" s="1"/>
  <c r="M16" i="1"/>
  <c r="J10" i="7" s="1"/>
  <c r="N16" i="1"/>
  <c r="O46" i="2" s="1"/>
  <c r="O16" i="1"/>
  <c r="P46" i="2" s="1"/>
  <c r="P16" i="1"/>
  <c r="Q46" i="2" s="1"/>
  <c r="L17" i="1"/>
  <c r="M47" i="2" s="1"/>
  <c r="M17" i="1"/>
  <c r="N47" i="2" s="1"/>
  <c r="N17" i="1"/>
  <c r="O47" i="2" s="1"/>
  <c r="O17" i="1"/>
  <c r="P47" i="2" s="1"/>
  <c r="P17" i="1"/>
  <c r="Q47" i="2" s="1"/>
  <c r="L18" i="1"/>
  <c r="I12" i="7" s="1"/>
  <c r="M18" i="1"/>
  <c r="J12" i="7" s="1"/>
  <c r="N18" i="1"/>
  <c r="O48" i="2" s="1"/>
  <c r="O18" i="1"/>
  <c r="P48" i="2" s="1"/>
  <c r="P18" i="1"/>
  <c r="Q48" i="2" s="1"/>
  <c r="L19" i="1"/>
  <c r="I13" i="7" s="1"/>
  <c r="M19" i="1"/>
  <c r="J13" i="7" s="1"/>
  <c r="N19" i="1"/>
  <c r="K13" i="7" s="1"/>
  <c r="O19" i="1"/>
  <c r="P19" i="1"/>
  <c r="L20" i="1"/>
  <c r="M50" i="2" s="1"/>
  <c r="M20" i="1"/>
  <c r="N50" i="2" s="1"/>
  <c r="N20" i="1"/>
  <c r="O50" i="2" s="1"/>
  <c r="O20" i="1"/>
  <c r="L14" i="7" s="1"/>
  <c r="P20" i="1"/>
  <c r="M14" i="7" s="1"/>
  <c r="L21" i="1"/>
  <c r="M21" i="1"/>
  <c r="N21" i="1"/>
  <c r="O21" i="1"/>
  <c r="P21" i="1"/>
  <c r="L22" i="1"/>
  <c r="M22" i="1"/>
  <c r="N22" i="1"/>
  <c r="O22" i="1"/>
  <c r="P22" i="1"/>
  <c r="L23" i="1"/>
  <c r="M23" i="1"/>
  <c r="N23" i="1"/>
  <c r="O23" i="1"/>
  <c r="P23" i="1"/>
  <c r="L24" i="1"/>
  <c r="M24" i="1"/>
  <c r="N24" i="1"/>
  <c r="O24" i="1"/>
  <c r="P24" i="1"/>
  <c r="L25" i="1"/>
  <c r="M25" i="1"/>
  <c r="X25" i="1" s="1"/>
  <c r="N25" i="1"/>
  <c r="O25" i="1"/>
  <c r="Z25" i="1" s="1"/>
  <c r="P25" i="1"/>
  <c r="AA25" i="1" s="1"/>
  <c r="L26" i="1"/>
  <c r="W26" i="1" s="1"/>
  <c r="M26" i="1"/>
  <c r="X26" i="1" s="1"/>
  <c r="N26" i="1"/>
  <c r="Y26" i="1" s="1"/>
  <c r="O26" i="1"/>
  <c r="Z26" i="1" s="1"/>
  <c r="P26" i="1"/>
  <c r="AA26" i="1" s="1"/>
  <c r="L27" i="1"/>
  <c r="M27" i="1"/>
  <c r="N27" i="1"/>
  <c r="O27" i="1"/>
  <c r="P27" i="1"/>
  <c r="L28" i="1"/>
  <c r="M58" i="2" s="1"/>
  <c r="M28" i="1"/>
  <c r="N58" i="2" s="1"/>
  <c r="N28" i="1"/>
  <c r="O58" i="2" s="1"/>
  <c r="O28" i="1"/>
  <c r="P58" i="2" s="1"/>
  <c r="P28" i="1"/>
  <c r="M17" i="7" s="1"/>
  <c r="L29" i="1"/>
  <c r="M59" i="2" s="1"/>
  <c r="M29" i="1"/>
  <c r="N59" i="2" s="1"/>
  <c r="N29" i="1"/>
  <c r="O59" i="2" s="1"/>
  <c r="O29" i="1"/>
  <c r="P59" i="2" s="1"/>
  <c r="P29" i="1"/>
  <c r="Q59" i="2" s="1"/>
  <c r="L30" i="1"/>
  <c r="M60" i="2" s="1"/>
  <c r="M30" i="1"/>
  <c r="N60" i="2" s="1"/>
  <c r="N30" i="1"/>
  <c r="K19" i="7" s="1"/>
  <c r="O30" i="1"/>
  <c r="P60" i="2" s="1"/>
  <c r="P30" i="1"/>
  <c r="Q60" i="2" s="1"/>
  <c r="L31" i="1"/>
  <c r="M61" i="2" s="1"/>
  <c r="M31" i="1"/>
  <c r="N61" i="2" s="1"/>
  <c r="N31" i="1"/>
  <c r="O61" i="2" s="1"/>
  <c r="O31" i="1"/>
  <c r="P61" i="2" s="1"/>
  <c r="P31" i="1"/>
  <c r="Q61" i="2" s="1"/>
  <c r="L32" i="1"/>
  <c r="I21" i="7" s="1"/>
  <c r="M32" i="1"/>
  <c r="N62" i="2" s="1"/>
  <c r="N32" i="1"/>
  <c r="O62" i="2" s="1"/>
  <c r="O32" i="1"/>
  <c r="P62" i="2" s="1"/>
  <c r="P32" i="1"/>
  <c r="Q62" i="2" s="1"/>
  <c r="L33" i="1"/>
  <c r="M63" i="2" s="1"/>
  <c r="M33" i="1"/>
  <c r="N63" i="2" s="1"/>
  <c r="N33" i="1"/>
  <c r="O63" i="2" s="1"/>
  <c r="O33" i="1"/>
  <c r="L22" i="7" s="1"/>
  <c r="P33" i="1"/>
  <c r="Q63" i="2" s="1"/>
  <c r="L5" i="1"/>
  <c r="M35" i="2" s="1"/>
  <c r="M5" i="1"/>
  <c r="N35" i="2" s="1"/>
  <c r="N5" i="1"/>
  <c r="O35" i="2" s="1"/>
  <c r="O5" i="1"/>
  <c r="L4" i="7" s="1"/>
  <c r="P5" i="1"/>
  <c r="M4" i="7" s="1"/>
  <c r="D11" i="10"/>
  <c r="D3" i="10"/>
  <c r="E3" i="10" s="1"/>
  <c r="F3" i="10" s="1"/>
  <c r="G3" i="10" s="1"/>
  <c r="H3" i="10" s="1"/>
  <c r="I3" i="10" s="1"/>
  <c r="J3" i="10" s="1"/>
  <c r="E35" i="9"/>
  <c r="E27" i="9"/>
  <c r="E31" i="9" s="1"/>
  <c r="H16" i="5"/>
  <c r="I31" i="9"/>
  <c r="H50" i="5"/>
  <c r="H57" i="5" s="1"/>
  <c r="I47" i="5"/>
  <c r="J41" i="5"/>
  <c r="K41" i="5"/>
  <c r="L41" i="5"/>
  <c r="M41" i="5"/>
  <c r="I41" i="5"/>
  <c r="H12" i="5"/>
  <c r="K8" i="5"/>
  <c r="L8" i="5"/>
  <c r="M8" i="5"/>
  <c r="K9" i="5"/>
  <c r="L9" i="5"/>
  <c r="M9" i="5"/>
  <c r="K10" i="5"/>
  <c r="L10" i="5"/>
  <c r="M10" i="5"/>
  <c r="J9" i="5"/>
  <c r="J10" i="5"/>
  <c r="J8" i="5"/>
  <c r="H99" i="2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4" i="7"/>
  <c r="Q33" i="2" l="1"/>
  <c r="N33" i="2"/>
  <c r="M33" i="2"/>
  <c r="K17" i="9"/>
  <c r="N17" i="9"/>
  <c r="J17" i="9"/>
  <c r="M17" i="9"/>
  <c r="L21" i="9"/>
  <c r="M55" i="2"/>
  <c r="W25" i="1"/>
  <c r="O55" i="2"/>
  <c r="Y25" i="1"/>
  <c r="Q52" i="2"/>
  <c r="AA22" i="1"/>
  <c r="M52" i="2"/>
  <c r="W22" i="1"/>
  <c r="K16" i="7"/>
  <c r="Y22" i="1"/>
  <c r="N35" i="1" s="1"/>
  <c r="P13" i="5" s="1"/>
  <c r="J16" i="7"/>
  <c r="X22" i="1"/>
  <c r="P52" i="2"/>
  <c r="Z22" i="1"/>
  <c r="M51" i="2"/>
  <c r="W21" i="1"/>
  <c r="N51" i="2"/>
  <c r="X21" i="1"/>
  <c r="Q51" i="2"/>
  <c r="AA21" i="1"/>
  <c r="P51" i="2"/>
  <c r="Z21" i="1"/>
  <c r="O35" i="1" s="1"/>
  <c r="Q13" i="5" s="1"/>
  <c r="O51" i="2"/>
  <c r="Y21" i="1"/>
  <c r="L9" i="7"/>
  <c r="Z15" i="1"/>
  <c r="Q45" i="2"/>
  <c r="AA15" i="1"/>
  <c r="K9" i="7"/>
  <c r="Y15" i="1"/>
  <c r="N45" i="2"/>
  <c r="X15" i="1"/>
  <c r="M45" i="2"/>
  <c r="W15" i="1"/>
  <c r="P63" i="2"/>
  <c r="M62" i="2"/>
  <c r="O60" i="2"/>
  <c r="Q58" i="2"/>
  <c r="N57" i="2"/>
  <c r="P55" i="2"/>
  <c r="M54" i="2"/>
  <c r="O52" i="2"/>
  <c r="Q50" i="2"/>
  <c r="N48" i="2"/>
  <c r="P45" i="2"/>
  <c r="M44" i="2"/>
  <c r="O42" i="2"/>
  <c r="P37" i="2"/>
  <c r="M36" i="2"/>
  <c r="K22" i="7"/>
  <c r="M20" i="7"/>
  <c r="J19" i="7"/>
  <c r="L17" i="7"/>
  <c r="I16" i="7"/>
  <c r="K14" i="7"/>
  <c r="M11" i="7"/>
  <c r="J9" i="7"/>
  <c r="L7" i="7"/>
  <c r="I6" i="7"/>
  <c r="K4" i="7"/>
  <c r="M57" i="2"/>
  <c r="Q53" i="2"/>
  <c r="N52" i="2"/>
  <c r="P50" i="2"/>
  <c r="M48" i="2"/>
  <c r="O45" i="2"/>
  <c r="Q43" i="2"/>
  <c r="N42" i="2"/>
  <c r="O37" i="2"/>
  <c r="Q35" i="2"/>
  <c r="J22" i="7"/>
  <c r="L20" i="7"/>
  <c r="I19" i="7"/>
  <c r="K17" i="7"/>
  <c r="M15" i="7"/>
  <c r="J14" i="7"/>
  <c r="L11" i="7"/>
  <c r="I9" i="7"/>
  <c r="M5" i="7"/>
  <c r="J4" i="7"/>
  <c r="Q56" i="2"/>
  <c r="N55" i="2"/>
  <c r="P53" i="2"/>
  <c r="P43" i="2"/>
  <c r="M42" i="2"/>
  <c r="N37" i="2"/>
  <c r="P35" i="2"/>
  <c r="I22" i="7"/>
  <c r="K20" i="7"/>
  <c r="M18" i="7"/>
  <c r="J17" i="7"/>
  <c r="L15" i="7"/>
  <c r="I14" i="7"/>
  <c r="K11" i="7"/>
  <c r="M8" i="7"/>
  <c r="L5" i="7"/>
  <c r="I4" i="7"/>
  <c r="P56" i="2"/>
  <c r="O53" i="2"/>
  <c r="O43" i="2"/>
  <c r="M21" i="7"/>
  <c r="J20" i="7"/>
  <c r="L18" i="7"/>
  <c r="I17" i="7"/>
  <c r="K15" i="7"/>
  <c r="M12" i="7"/>
  <c r="J11" i="7"/>
  <c r="L8" i="7"/>
  <c r="K5" i="7"/>
  <c r="O56" i="2"/>
  <c r="Q54" i="2"/>
  <c r="N53" i="2"/>
  <c r="N43" i="2"/>
  <c r="L21" i="7"/>
  <c r="I20" i="7"/>
  <c r="K18" i="7"/>
  <c r="M16" i="7"/>
  <c r="J15" i="7"/>
  <c r="L12" i="7"/>
  <c r="I11" i="7"/>
  <c r="K8" i="7"/>
  <c r="M6" i="7"/>
  <c r="J5" i="7"/>
  <c r="Q57" i="2"/>
  <c r="N56" i="2"/>
  <c r="P54" i="2"/>
  <c r="M53" i="2"/>
  <c r="M43" i="2"/>
  <c r="K21" i="7"/>
  <c r="M19" i="7"/>
  <c r="J18" i="7"/>
  <c r="L16" i="7"/>
  <c r="I15" i="7"/>
  <c r="K12" i="7"/>
  <c r="M9" i="7"/>
  <c r="J8" i="7"/>
  <c r="P57" i="2"/>
  <c r="M56" i="2"/>
  <c r="O54" i="2"/>
  <c r="Q42" i="2"/>
  <c r="M22" i="7"/>
  <c r="J21" i="7"/>
  <c r="L19" i="7"/>
  <c r="I18" i="7"/>
  <c r="O34" i="1"/>
  <c r="O57" i="2"/>
  <c r="Q55" i="2"/>
  <c r="N54" i="2"/>
  <c r="P35" i="1"/>
  <c r="R13" i="5" s="1"/>
  <c r="L35" i="1"/>
  <c r="N13" i="5" s="1"/>
  <c r="M21" i="9"/>
  <c r="K3" i="10"/>
  <c r="N89" i="2"/>
  <c r="N87" i="2"/>
  <c r="N85" i="2"/>
  <c r="N83" i="2"/>
  <c r="N46" i="2"/>
  <c r="M10" i="7"/>
  <c r="M46" i="2"/>
  <c r="L10" i="7"/>
  <c r="K10" i="7"/>
  <c r="P34" i="1"/>
  <c r="Q77" i="2" s="1"/>
  <c r="P65" i="2"/>
  <c r="O65" i="2"/>
  <c r="N34" i="1"/>
  <c r="N65" i="2"/>
  <c r="N66" i="2" s="1"/>
  <c r="Q49" i="2"/>
  <c r="M34" i="1"/>
  <c r="M65" i="2"/>
  <c r="M66" i="2" s="1"/>
  <c r="P49" i="2"/>
  <c r="L34" i="1"/>
  <c r="M13" i="7"/>
  <c r="N49" i="2"/>
  <c r="L13" i="7"/>
  <c r="O49" i="2"/>
  <c r="M49" i="2"/>
  <c r="Q65" i="2"/>
  <c r="Q66" i="2" s="1"/>
  <c r="H18" i="4"/>
  <c r="M23" i="2" s="1"/>
  <c r="Q100" i="2"/>
  <c r="N18" i="9" s="1"/>
  <c r="O100" i="2"/>
  <c r="L18" i="9" s="1"/>
  <c r="P100" i="2"/>
  <c r="M18" i="9" s="1"/>
  <c r="N100" i="2"/>
  <c r="K18" i="9" s="1"/>
  <c r="M100" i="2"/>
  <c r="J18" i="9" s="1"/>
  <c r="O88" i="2"/>
  <c r="N88" i="2"/>
  <c r="M92" i="2"/>
  <c r="I11" i="4"/>
  <c r="M10" i="2"/>
  <c r="I10" i="4"/>
  <c r="M9" i="2"/>
  <c r="P33" i="2"/>
  <c r="H72" i="5"/>
  <c r="I17" i="9"/>
  <c r="G17" i="9"/>
  <c r="H17" i="9"/>
  <c r="P70" i="2" l="1"/>
  <c r="P66" i="2"/>
  <c r="O70" i="2"/>
  <c r="O66" i="2"/>
  <c r="M35" i="1"/>
  <c r="O13" i="5" s="1"/>
  <c r="J24" i="7"/>
  <c r="J25" i="7" s="1"/>
  <c r="O36" i="1"/>
  <c r="Q14" i="5" s="1"/>
  <c r="I24" i="7"/>
  <c r="N36" i="1"/>
  <c r="P14" i="5" s="1"/>
  <c r="P12" i="5" s="1"/>
  <c r="O101" i="2" s="1"/>
  <c r="L20" i="9" s="1"/>
  <c r="K24" i="7"/>
  <c r="Q75" i="2"/>
  <c r="P75" i="2"/>
  <c r="M24" i="7"/>
  <c r="M25" i="7" s="1"/>
  <c r="P76" i="2"/>
  <c r="P77" i="2"/>
  <c r="L24" i="7"/>
  <c r="L25" i="7" s="1"/>
  <c r="Q12" i="5"/>
  <c r="P101" i="2" s="1"/>
  <c r="M20" i="9" s="1"/>
  <c r="Q67" i="2"/>
  <c r="P67" i="2"/>
  <c r="M70" i="2"/>
  <c r="M67" i="2"/>
  <c r="N67" i="2"/>
  <c r="O67" i="2"/>
  <c r="P63" i="5"/>
  <c r="N90" i="2"/>
  <c r="O89" i="2"/>
  <c r="O87" i="2"/>
  <c r="N86" i="2"/>
  <c r="N92" i="2" s="1"/>
  <c r="O85" i="2"/>
  <c r="O83" i="2"/>
  <c r="I18" i="4"/>
  <c r="N23" i="2" s="1"/>
  <c r="P36" i="1"/>
  <c r="R14" i="5" s="1"/>
  <c r="R12" i="5" s="1"/>
  <c r="Q78" i="2" s="1"/>
  <c r="Q76" i="2"/>
  <c r="R63" i="5"/>
  <c r="N70" i="2"/>
  <c r="O63" i="5"/>
  <c r="O76" i="2"/>
  <c r="O75" i="2"/>
  <c r="O77" i="2"/>
  <c r="Q70" i="2"/>
  <c r="M76" i="2"/>
  <c r="M75" i="2"/>
  <c r="M77" i="2"/>
  <c r="L36" i="1"/>
  <c r="N14" i="5" s="1"/>
  <c r="N12" i="5" s="1"/>
  <c r="M36" i="1"/>
  <c r="O14" i="5" s="1"/>
  <c r="O12" i="5" s="1"/>
  <c r="N76" i="2"/>
  <c r="N75" i="2"/>
  <c r="N77" i="2"/>
  <c r="O84" i="2"/>
  <c r="P88" i="2"/>
  <c r="Q88" i="2"/>
  <c r="J11" i="4"/>
  <c r="N10" i="2"/>
  <c r="M12" i="2"/>
  <c r="M22" i="2" s="1"/>
  <c r="J10" i="4"/>
  <c r="N9" i="2"/>
  <c r="F31" i="9"/>
  <c r="H31" i="9"/>
  <c r="G31" i="9"/>
  <c r="K26" i="7" l="1"/>
  <c r="K25" i="7"/>
  <c r="K27" i="7" s="1"/>
  <c r="I26" i="7"/>
  <c r="I25" i="7"/>
  <c r="J26" i="7"/>
  <c r="J27" i="7" s="1"/>
  <c r="P78" i="2"/>
  <c r="O78" i="2"/>
  <c r="I27" i="7"/>
  <c r="M19" i="9"/>
  <c r="M23" i="9" s="1"/>
  <c r="M26" i="7"/>
  <c r="M27" i="7" s="1"/>
  <c r="L26" i="7"/>
  <c r="M72" i="2"/>
  <c r="N72" i="2"/>
  <c r="O72" i="2"/>
  <c r="P72" i="2"/>
  <c r="Q72" i="2"/>
  <c r="Q101" i="2"/>
  <c r="N20" i="9" s="1"/>
  <c r="Q63" i="5"/>
  <c r="N19" i="9"/>
  <c r="O90" i="2"/>
  <c r="Q89" i="2"/>
  <c r="P89" i="2"/>
  <c r="Q87" i="2"/>
  <c r="P87" i="2"/>
  <c r="O86" i="2"/>
  <c r="P85" i="2"/>
  <c r="Q85" i="2"/>
  <c r="P83" i="2"/>
  <c r="Q83" i="2"/>
  <c r="N78" i="2"/>
  <c r="K19" i="9"/>
  <c r="N101" i="2"/>
  <c r="K20" i="9" s="1"/>
  <c r="N63" i="5"/>
  <c r="M78" i="2"/>
  <c r="M101" i="2"/>
  <c r="J20" i="9" s="1"/>
  <c r="L19" i="9"/>
  <c r="L23" i="9" s="1"/>
  <c r="J18" i="4"/>
  <c r="O23" i="2" s="1"/>
  <c r="M79" i="2"/>
  <c r="M74" i="2"/>
  <c r="M21" i="2"/>
  <c r="M20" i="2"/>
  <c r="N65" i="5" s="1"/>
  <c r="P84" i="2"/>
  <c r="Q84" i="2"/>
  <c r="K11" i="4"/>
  <c r="L11" i="4" s="1"/>
  <c r="O10" i="2"/>
  <c r="N12" i="2"/>
  <c r="N79" i="2" s="1"/>
  <c r="K10" i="4"/>
  <c r="O9" i="2"/>
  <c r="J100" i="2"/>
  <c r="G18" i="9" s="1"/>
  <c r="K100" i="2"/>
  <c r="H18" i="9" s="1"/>
  <c r="L100" i="2"/>
  <c r="I18" i="9" s="1"/>
  <c r="I100" i="2"/>
  <c r="F18" i="9" s="1"/>
  <c r="I8" i="5"/>
  <c r="S4" i="1"/>
  <c r="T4" i="1"/>
  <c r="U4" i="1"/>
  <c r="V4" i="1"/>
  <c r="R4" i="1"/>
  <c r="I10" i="5"/>
  <c r="I9" i="5"/>
  <c r="H30" i="5"/>
  <c r="H6" i="5"/>
  <c r="H19" i="5" s="1"/>
  <c r="C90" i="2"/>
  <c r="H90" i="2"/>
  <c r="I90" i="2"/>
  <c r="J90" i="2"/>
  <c r="K90" i="2"/>
  <c r="L90" i="2"/>
  <c r="I83" i="2"/>
  <c r="J83" i="2"/>
  <c r="K83" i="2"/>
  <c r="L83" i="2"/>
  <c r="I84" i="2"/>
  <c r="J84" i="2"/>
  <c r="K84" i="2"/>
  <c r="L84" i="2"/>
  <c r="I85" i="2"/>
  <c r="J85" i="2"/>
  <c r="K85" i="2"/>
  <c r="L85" i="2"/>
  <c r="I86" i="2"/>
  <c r="J86" i="2"/>
  <c r="K86" i="2"/>
  <c r="L86" i="2"/>
  <c r="I87" i="2"/>
  <c r="J87" i="2"/>
  <c r="K87" i="2"/>
  <c r="L87" i="2"/>
  <c r="I88" i="2"/>
  <c r="J88" i="2"/>
  <c r="K88" i="2"/>
  <c r="L88" i="2"/>
  <c r="I89" i="2"/>
  <c r="J89" i="2"/>
  <c r="K89" i="2"/>
  <c r="L89" i="2"/>
  <c r="H84" i="2"/>
  <c r="H85" i="2"/>
  <c r="H86" i="2"/>
  <c r="H87" i="2"/>
  <c r="H88" i="2"/>
  <c r="H89" i="2"/>
  <c r="H83" i="2"/>
  <c r="C84" i="2"/>
  <c r="C85" i="2"/>
  <c r="C86" i="2"/>
  <c r="C87" i="2"/>
  <c r="C88" i="2"/>
  <c r="C89" i="2"/>
  <c r="C83" i="2"/>
  <c r="G5" i="1"/>
  <c r="D4" i="7" s="1"/>
  <c r="G6" i="1"/>
  <c r="D5" i="7" s="1"/>
  <c r="G7" i="1"/>
  <c r="D6" i="7" s="1"/>
  <c r="G8" i="1"/>
  <c r="G9" i="1"/>
  <c r="G10" i="1"/>
  <c r="G11" i="1"/>
  <c r="G12" i="1"/>
  <c r="D7" i="7" s="1"/>
  <c r="G13" i="1"/>
  <c r="G14" i="1"/>
  <c r="D8" i="7" s="1"/>
  <c r="G15" i="1"/>
  <c r="G16" i="1"/>
  <c r="D10" i="7" s="1"/>
  <c r="G17" i="1"/>
  <c r="D11" i="7" s="1"/>
  <c r="G18" i="1"/>
  <c r="D12" i="7" s="1"/>
  <c r="G19" i="1"/>
  <c r="D13" i="7" s="1"/>
  <c r="G20" i="1"/>
  <c r="D14" i="7" s="1"/>
  <c r="G21" i="1"/>
  <c r="G22" i="1"/>
  <c r="G23" i="1"/>
  <c r="G24" i="1"/>
  <c r="G25" i="1"/>
  <c r="R25" i="1" s="1"/>
  <c r="G26" i="1"/>
  <c r="R26" i="1" s="1"/>
  <c r="G27" i="1"/>
  <c r="G28" i="1"/>
  <c r="D17" i="7" s="1"/>
  <c r="G29" i="1"/>
  <c r="D18" i="7" s="1"/>
  <c r="G30" i="1"/>
  <c r="D19" i="7" s="1"/>
  <c r="G31" i="1"/>
  <c r="D20" i="7" s="1"/>
  <c r="G32" i="1"/>
  <c r="D21" i="7" s="1"/>
  <c r="G33" i="1"/>
  <c r="D22" i="7" s="1"/>
  <c r="I10" i="2"/>
  <c r="J10" i="2"/>
  <c r="K10" i="2"/>
  <c r="L10" i="2"/>
  <c r="H10" i="2"/>
  <c r="I9" i="2"/>
  <c r="J9" i="2"/>
  <c r="K9" i="2"/>
  <c r="L9" i="2"/>
  <c r="H9" i="2"/>
  <c r="D18" i="4"/>
  <c r="I23" i="2" s="1"/>
  <c r="E18" i="4"/>
  <c r="J23" i="2" s="1"/>
  <c r="F18" i="4"/>
  <c r="K23" i="2" s="1"/>
  <c r="G18" i="4"/>
  <c r="L23" i="2" s="1"/>
  <c r="C18" i="4"/>
  <c r="H23" i="2" s="1"/>
  <c r="D17" i="4"/>
  <c r="E17" i="4"/>
  <c r="F17" i="4"/>
  <c r="G17" i="4"/>
  <c r="C17" i="4"/>
  <c r="I31" i="2"/>
  <c r="J31" i="2"/>
  <c r="K31" i="2"/>
  <c r="L31" i="2"/>
  <c r="H31" i="2"/>
  <c r="I30" i="2"/>
  <c r="J30" i="2"/>
  <c r="K30" i="2"/>
  <c r="L30" i="2"/>
  <c r="H30" i="2"/>
  <c r="I29" i="2"/>
  <c r="J17" i="5" s="1"/>
  <c r="J16" i="5" s="1"/>
  <c r="J29" i="2"/>
  <c r="K17" i="5" s="1"/>
  <c r="K16" i="5" s="1"/>
  <c r="K29" i="2"/>
  <c r="L17" i="5" s="1"/>
  <c r="L16" i="5" s="1"/>
  <c r="L29" i="2"/>
  <c r="M17" i="5" s="1"/>
  <c r="M16" i="5" s="1"/>
  <c r="J21" i="9" s="1"/>
  <c r="H29" i="2"/>
  <c r="I17" i="5" s="1"/>
  <c r="I16" i="5" s="1"/>
  <c r="E21" i="9" s="1"/>
  <c r="N23" i="9" l="1"/>
  <c r="K23" i="9"/>
  <c r="O14" i="2"/>
  <c r="L9" i="9" s="1"/>
  <c r="Q14" i="2"/>
  <c r="N9" i="9" s="1"/>
  <c r="M14" i="2"/>
  <c r="J9" i="9" s="1"/>
  <c r="N14" i="2"/>
  <c r="K9" i="9" s="1"/>
  <c r="O92" i="2"/>
  <c r="D16" i="7"/>
  <c r="R22" i="1"/>
  <c r="D15" i="7"/>
  <c r="R21" i="1"/>
  <c r="D9" i="7"/>
  <c r="R15" i="1"/>
  <c r="G35" i="1" s="1"/>
  <c r="I13" i="5" s="1"/>
  <c r="L27" i="7"/>
  <c r="O12" i="2"/>
  <c r="O74" i="2" s="1"/>
  <c r="Q90" i="2"/>
  <c r="P90" i="2"/>
  <c r="Q86" i="2"/>
  <c r="P86" i="2"/>
  <c r="M25" i="2"/>
  <c r="M81" i="2"/>
  <c r="K18" i="4"/>
  <c r="P23" i="2" s="1"/>
  <c r="L10" i="4"/>
  <c r="L18" i="4" s="1"/>
  <c r="Q23" i="2" s="1"/>
  <c r="N74" i="2"/>
  <c r="N81" i="2" s="1"/>
  <c r="N20" i="2"/>
  <c r="O65" i="5" s="1"/>
  <c r="N22" i="2"/>
  <c r="N21" i="2"/>
  <c r="Q10" i="2"/>
  <c r="P10" i="2"/>
  <c r="O79" i="2"/>
  <c r="O20" i="2"/>
  <c r="P65" i="5" s="1"/>
  <c r="P9" i="2"/>
  <c r="D24" i="7"/>
  <c r="D25" i="7" s="1"/>
  <c r="G34" i="1"/>
  <c r="F21" i="9"/>
  <c r="G21" i="9"/>
  <c r="I21" i="9"/>
  <c r="H21" i="9"/>
  <c r="E17" i="9"/>
  <c r="F17" i="9"/>
  <c r="H100" i="2"/>
  <c r="E18" i="9" s="1"/>
  <c r="L92" i="2"/>
  <c r="I92" i="2"/>
  <c r="H92" i="2"/>
  <c r="K92" i="2"/>
  <c r="J92" i="2"/>
  <c r="H31" i="5"/>
  <c r="I12" i="2"/>
  <c r="K12" i="2"/>
  <c r="K20" i="2" s="1"/>
  <c r="J12" i="2"/>
  <c r="H12" i="2"/>
  <c r="L12" i="2"/>
  <c r="L33" i="2"/>
  <c r="K33" i="2"/>
  <c r="H33" i="2"/>
  <c r="J33" i="2"/>
  <c r="I33" i="2"/>
  <c r="O21" i="2" l="1"/>
  <c r="O22" i="2"/>
  <c r="P14" i="2"/>
  <c r="M9" i="9" s="1"/>
  <c r="P92" i="2"/>
  <c r="O81" i="2"/>
  <c r="P21" i="5" s="1"/>
  <c r="Q92" i="2"/>
  <c r="N21" i="5"/>
  <c r="M94" i="2"/>
  <c r="N25" i="2"/>
  <c r="Q9" i="2"/>
  <c r="Q12" i="2" s="1"/>
  <c r="N94" i="2"/>
  <c r="O21" i="5"/>
  <c r="O25" i="2"/>
  <c r="P12" i="2"/>
  <c r="P22" i="2"/>
  <c r="D26" i="7"/>
  <c r="D27" i="7" s="1"/>
  <c r="H14" i="2" s="1"/>
  <c r="H77" i="2"/>
  <c r="G36" i="1"/>
  <c r="I14" i="5" s="1"/>
  <c r="I12" i="5" s="1"/>
  <c r="E19" i="9" s="1"/>
  <c r="H75" i="2"/>
  <c r="H76" i="2"/>
  <c r="H34" i="5"/>
  <c r="L65" i="5"/>
  <c r="I79" i="2"/>
  <c r="I74" i="2"/>
  <c r="L21" i="2"/>
  <c r="L79" i="2"/>
  <c r="L74" i="2"/>
  <c r="H21" i="2"/>
  <c r="H74" i="2"/>
  <c r="H79" i="2"/>
  <c r="I22" i="2"/>
  <c r="J21" i="2"/>
  <c r="J74" i="2"/>
  <c r="J79" i="2"/>
  <c r="K74" i="2"/>
  <c r="K79" i="2"/>
  <c r="K22" i="2"/>
  <c r="K21" i="2"/>
  <c r="I20" i="2"/>
  <c r="J65" i="5" s="1"/>
  <c r="I21" i="2"/>
  <c r="J20" i="2"/>
  <c r="K65" i="5" s="1"/>
  <c r="J22" i="2"/>
  <c r="L22" i="2"/>
  <c r="L20" i="2"/>
  <c r="M65" i="5" s="1"/>
  <c r="H22" i="2"/>
  <c r="H20" i="2"/>
  <c r="I65" i="5" s="1"/>
  <c r="O94" i="2" l="1"/>
  <c r="K25" i="2"/>
  <c r="Q21" i="2"/>
  <c r="P21" i="2"/>
  <c r="Q22" i="2"/>
  <c r="Q74" i="2"/>
  <c r="Q20" i="2"/>
  <c r="R65" i="5" s="1"/>
  <c r="Q79" i="2"/>
  <c r="P20" i="2"/>
  <c r="Q65" i="5" s="1"/>
  <c r="P79" i="2"/>
  <c r="P74" i="2"/>
  <c r="D29" i="7"/>
  <c r="E9" i="9"/>
  <c r="H78" i="2"/>
  <c r="H81" i="2" s="1"/>
  <c r="H101" i="2"/>
  <c r="H103" i="2" s="1"/>
  <c r="E8" i="9" s="1"/>
  <c r="J25" i="2"/>
  <c r="L25" i="2"/>
  <c r="I25" i="2"/>
  <c r="H25" i="2"/>
  <c r="P81" i="2" l="1"/>
  <c r="P94" i="2" s="1"/>
  <c r="D31" i="7"/>
  <c r="H117" i="2" s="1"/>
  <c r="I25" i="5" s="1"/>
  <c r="I21" i="5"/>
  <c r="Q81" i="2"/>
  <c r="R21" i="5" s="1"/>
  <c r="P25" i="2"/>
  <c r="Q25" i="2"/>
  <c r="I7" i="5"/>
  <c r="I6" i="5" s="1"/>
  <c r="I19" i="5" s="1"/>
  <c r="H16" i="2"/>
  <c r="H18" i="2" s="1"/>
  <c r="H27" i="2" s="1"/>
  <c r="E20" i="9"/>
  <c r="E23" i="9" s="1"/>
  <c r="H65" i="2"/>
  <c r="Q21" i="5" l="1"/>
  <c r="Q94" i="2"/>
  <c r="H67" i="2"/>
  <c r="I99" i="2"/>
  <c r="H66" i="2"/>
  <c r="I63" i="5" s="1"/>
  <c r="H70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35" i="2"/>
  <c r="C58" i="2"/>
  <c r="C59" i="2"/>
  <c r="C60" i="2"/>
  <c r="C61" i="2"/>
  <c r="C62" i="2"/>
  <c r="C63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35" i="2"/>
  <c r="H6" i="1"/>
  <c r="E5" i="7" s="1"/>
  <c r="I6" i="1"/>
  <c r="F5" i="7" s="1"/>
  <c r="J6" i="1"/>
  <c r="G5" i="7" s="1"/>
  <c r="K6" i="1"/>
  <c r="H5" i="7" s="1"/>
  <c r="H7" i="1"/>
  <c r="E6" i="7" s="1"/>
  <c r="I7" i="1"/>
  <c r="F6" i="7" s="1"/>
  <c r="J7" i="1"/>
  <c r="G6" i="7" s="1"/>
  <c r="K7" i="1"/>
  <c r="H6" i="7" s="1"/>
  <c r="H8" i="1"/>
  <c r="I38" i="2" s="1"/>
  <c r="I8" i="1"/>
  <c r="J38" i="2" s="1"/>
  <c r="J8" i="1"/>
  <c r="K38" i="2" s="1"/>
  <c r="K8" i="1"/>
  <c r="L38" i="2" s="1"/>
  <c r="H9" i="1"/>
  <c r="I9" i="1"/>
  <c r="J9" i="1"/>
  <c r="K9" i="1"/>
  <c r="L39" i="2" s="1"/>
  <c r="H10" i="1"/>
  <c r="I10" i="1"/>
  <c r="J10" i="1"/>
  <c r="K10" i="1"/>
  <c r="H11" i="1"/>
  <c r="I11" i="1"/>
  <c r="J11" i="1"/>
  <c r="K11" i="1"/>
  <c r="H12" i="1"/>
  <c r="E7" i="7" s="1"/>
  <c r="I12" i="1"/>
  <c r="F7" i="7" s="1"/>
  <c r="J12" i="1"/>
  <c r="G7" i="7" s="1"/>
  <c r="K12" i="1"/>
  <c r="H7" i="7" s="1"/>
  <c r="H13" i="1"/>
  <c r="I13" i="1"/>
  <c r="J13" i="1"/>
  <c r="K13" i="1"/>
  <c r="H14" i="1"/>
  <c r="E8" i="7" s="1"/>
  <c r="I14" i="1"/>
  <c r="F8" i="7" s="1"/>
  <c r="J14" i="1"/>
  <c r="G8" i="7" s="1"/>
  <c r="K14" i="1"/>
  <c r="H8" i="7" s="1"/>
  <c r="H15" i="1"/>
  <c r="I15" i="1"/>
  <c r="J15" i="1"/>
  <c r="K15" i="1"/>
  <c r="H16" i="1"/>
  <c r="E10" i="7" s="1"/>
  <c r="I16" i="1"/>
  <c r="F10" i="7" s="1"/>
  <c r="J16" i="1"/>
  <c r="G10" i="7" s="1"/>
  <c r="K16" i="1"/>
  <c r="H10" i="7" s="1"/>
  <c r="H17" i="1"/>
  <c r="E11" i="7" s="1"/>
  <c r="I17" i="1"/>
  <c r="F11" i="7" s="1"/>
  <c r="J17" i="1"/>
  <c r="G11" i="7" s="1"/>
  <c r="K17" i="1"/>
  <c r="H11" i="7" s="1"/>
  <c r="H18" i="1"/>
  <c r="E12" i="7" s="1"/>
  <c r="I18" i="1"/>
  <c r="F12" i="7" s="1"/>
  <c r="J18" i="1"/>
  <c r="G12" i="7" s="1"/>
  <c r="K18" i="1"/>
  <c r="H12" i="7" s="1"/>
  <c r="H19" i="1"/>
  <c r="E13" i="7" s="1"/>
  <c r="I19" i="1"/>
  <c r="F13" i="7" s="1"/>
  <c r="J19" i="1"/>
  <c r="G13" i="7" s="1"/>
  <c r="K19" i="1"/>
  <c r="H13" i="7" s="1"/>
  <c r="H20" i="1"/>
  <c r="E14" i="7" s="1"/>
  <c r="I20" i="1"/>
  <c r="F14" i="7" s="1"/>
  <c r="J20" i="1"/>
  <c r="G14" i="7" s="1"/>
  <c r="K20" i="1"/>
  <c r="H14" i="7" s="1"/>
  <c r="H21" i="1"/>
  <c r="I21" i="1"/>
  <c r="J21" i="1"/>
  <c r="K21" i="1"/>
  <c r="H22" i="1"/>
  <c r="I22" i="1"/>
  <c r="J22" i="1"/>
  <c r="K22" i="1"/>
  <c r="H23" i="1"/>
  <c r="I23" i="1"/>
  <c r="J23" i="1"/>
  <c r="K23" i="1"/>
  <c r="H24" i="1"/>
  <c r="I24" i="1"/>
  <c r="J24" i="1"/>
  <c r="K24" i="1"/>
  <c r="H25" i="1"/>
  <c r="S25" i="1" s="1"/>
  <c r="I25" i="1"/>
  <c r="T25" i="1" s="1"/>
  <c r="J25" i="1"/>
  <c r="U25" i="1" s="1"/>
  <c r="K25" i="1"/>
  <c r="V25" i="1" s="1"/>
  <c r="H26" i="1"/>
  <c r="S26" i="1" s="1"/>
  <c r="I26" i="1"/>
  <c r="T26" i="1" s="1"/>
  <c r="J26" i="1"/>
  <c r="U26" i="1" s="1"/>
  <c r="K26" i="1"/>
  <c r="V26" i="1" s="1"/>
  <c r="H27" i="1"/>
  <c r="I27" i="1"/>
  <c r="J27" i="1"/>
  <c r="K27" i="1"/>
  <c r="H28" i="1"/>
  <c r="E17" i="7" s="1"/>
  <c r="I28" i="1"/>
  <c r="F17" i="7" s="1"/>
  <c r="J28" i="1"/>
  <c r="G17" i="7" s="1"/>
  <c r="K28" i="1"/>
  <c r="H17" i="7" s="1"/>
  <c r="H29" i="1"/>
  <c r="E18" i="7" s="1"/>
  <c r="I29" i="1"/>
  <c r="F18" i="7" s="1"/>
  <c r="J29" i="1"/>
  <c r="G18" i="7" s="1"/>
  <c r="K29" i="1"/>
  <c r="H18" i="7" s="1"/>
  <c r="H30" i="1"/>
  <c r="E19" i="7" s="1"/>
  <c r="I30" i="1"/>
  <c r="F19" i="7" s="1"/>
  <c r="J30" i="1"/>
  <c r="G19" i="7" s="1"/>
  <c r="K30" i="1"/>
  <c r="H19" i="7" s="1"/>
  <c r="H31" i="1"/>
  <c r="E20" i="7" s="1"/>
  <c r="I31" i="1"/>
  <c r="F20" i="7" s="1"/>
  <c r="J31" i="1"/>
  <c r="G20" i="7" s="1"/>
  <c r="K31" i="1"/>
  <c r="H20" i="7" s="1"/>
  <c r="H32" i="1"/>
  <c r="E21" i="7" s="1"/>
  <c r="I32" i="1"/>
  <c r="F21" i="7" s="1"/>
  <c r="J32" i="1"/>
  <c r="G21" i="7" s="1"/>
  <c r="K32" i="1"/>
  <c r="H21" i="7" s="1"/>
  <c r="H33" i="1"/>
  <c r="E22" i="7" s="1"/>
  <c r="I33" i="1"/>
  <c r="F22" i="7" s="1"/>
  <c r="J33" i="1"/>
  <c r="G22" i="7" s="1"/>
  <c r="K33" i="1"/>
  <c r="H22" i="7" s="1"/>
  <c r="H5" i="1"/>
  <c r="I5" i="1"/>
  <c r="J35" i="2" s="1"/>
  <c r="J5" i="1"/>
  <c r="K35" i="2" s="1"/>
  <c r="K5" i="1"/>
  <c r="H2" i="1"/>
  <c r="H16" i="7" l="1"/>
  <c r="V22" i="1"/>
  <c r="E16" i="7"/>
  <c r="S22" i="1"/>
  <c r="G16" i="7"/>
  <c r="U22" i="1"/>
  <c r="F16" i="7"/>
  <c r="T22" i="1"/>
  <c r="I35" i="1" s="1"/>
  <c r="K13" i="5" s="1"/>
  <c r="H15" i="7"/>
  <c r="V21" i="1"/>
  <c r="G15" i="7"/>
  <c r="U21" i="1"/>
  <c r="F15" i="7"/>
  <c r="T21" i="1"/>
  <c r="E15" i="7"/>
  <c r="S21" i="1"/>
  <c r="H9" i="7"/>
  <c r="V15" i="1"/>
  <c r="G9" i="7"/>
  <c r="U15" i="1"/>
  <c r="F9" i="7"/>
  <c r="T15" i="1"/>
  <c r="E9" i="7"/>
  <c r="S15" i="1"/>
  <c r="H35" i="1" s="1"/>
  <c r="J13" i="5" s="1"/>
  <c r="L55" i="2"/>
  <c r="J45" i="2"/>
  <c r="J36" i="2"/>
  <c r="K55" i="2"/>
  <c r="L50" i="2"/>
  <c r="I36" i="2"/>
  <c r="L54" i="2"/>
  <c r="I48" i="2"/>
  <c r="I52" i="2"/>
  <c r="L36" i="2"/>
  <c r="K36" i="2"/>
  <c r="H72" i="2"/>
  <c r="H94" i="2" s="1"/>
  <c r="I63" i="2"/>
  <c r="J63" i="2"/>
  <c r="L63" i="2"/>
  <c r="K63" i="2"/>
  <c r="J62" i="2"/>
  <c r="I62" i="2"/>
  <c r="K62" i="2"/>
  <c r="L62" i="2"/>
  <c r="K61" i="2"/>
  <c r="I61" i="2"/>
  <c r="L61" i="2"/>
  <c r="J61" i="2"/>
  <c r="L60" i="2"/>
  <c r="K60" i="2"/>
  <c r="J60" i="2"/>
  <c r="I60" i="2"/>
  <c r="K59" i="2"/>
  <c r="L59" i="2"/>
  <c r="J59" i="2"/>
  <c r="I59" i="2"/>
  <c r="L58" i="2"/>
  <c r="K58" i="2"/>
  <c r="J58" i="2"/>
  <c r="I58" i="2"/>
  <c r="L57" i="2"/>
  <c r="K57" i="2"/>
  <c r="J57" i="2"/>
  <c r="I57" i="2"/>
  <c r="I56" i="2"/>
  <c r="L56" i="2"/>
  <c r="K56" i="2"/>
  <c r="J56" i="2"/>
  <c r="I54" i="2"/>
  <c r="I55" i="2"/>
  <c r="K54" i="2"/>
  <c r="J54" i="2"/>
  <c r="J55" i="2"/>
  <c r="L53" i="2"/>
  <c r="J53" i="2"/>
  <c r="I53" i="2"/>
  <c r="K53" i="2"/>
  <c r="L52" i="2"/>
  <c r="K52" i="2"/>
  <c r="J52" i="2"/>
  <c r="K50" i="2"/>
  <c r="J50" i="2"/>
  <c r="I50" i="2"/>
  <c r="L48" i="2"/>
  <c r="K48" i="2"/>
  <c r="J48" i="2"/>
  <c r="L47" i="2"/>
  <c r="K47" i="2"/>
  <c r="J47" i="2"/>
  <c r="I47" i="2"/>
  <c r="K45" i="2"/>
  <c r="I45" i="2"/>
  <c r="L45" i="2"/>
  <c r="J43" i="2"/>
  <c r="L51" i="2"/>
  <c r="K51" i="2"/>
  <c r="J51" i="2"/>
  <c r="I51" i="2"/>
  <c r="J49" i="2"/>
  <c r="I49" i="2"/>
  <c r="L49" i="2"/>
  <c r="K49" i="2"/>
  <c r="L46" i="2"/>
  <c r="K46" i="2"/>
  <c r="J46" i="2"/>
  <c r="I46" i="2"/>
  <c r="L42" i="2"/>
  <c r="K42" i="2"/>
  <c r="J42" i="2"/>
  <c r="I42" i="2"/>
  <c r="K44" i="2"/>
  <c r="J44" i="2"/>
  <c r="I44" i="2"/>
  <c r="L44" i="2"/>
  <c r="I43" i="2"/>
  <c r="L43" i="2"/>
  <c r="K43" i="2"/>
  <c r="K41" i="2"/>
  <c r="L41" i="2"/>
  <c r="J41" i="2"/>
  <c r="I41" i="2"/>
  <c r="I40" i="2"/>
  <c r="L40" i="2"/>
  <c r="K40" i="2"/>
  <c r="J40" i="2"/>
  <c r="J35" i="1"/>
  <c r="L13" i="5" s="1"/>
  <c r="I39" i="2"/>
  <c r="K39" i="2"/>
  <c r="K35" i="1"/>
  <c r="M13" i="5" s="1"/>
  <c r="J39" i="2"/>
  <c r="L37" i="2"/>
  <c r="K37" i="2"/>
  <c r="J37" i="2"/>
  <c r="I37" i="2"/>
  <c r="E4" i="7"/>
  <c r="H34" i="1"/>
  <c r="I65" i="2"/>
  <c r="I35" i="2"/>
  <c r="H4" i="7"/>
  <c r="H24" i="7" s="1"/>
  <c r="H25" i="7" s="1"/>
  <c r="K34" i="1"/>
  <c r="L65" i="2"/>
  <c r="L66" i="2" s="1"/>
  <c r="G4" i="7"/>
  <c r="J34" i="1"/>
  <c r="K65" i="2"/>
  <c r="F4" i="7"/>
  <c r="I34" i="1"/>
  <c r="J65" i="2"/>
  <c r="L35" i="2"/>
  <c r="L2" i="2"/>
  <c r="K2" i="2"/>
  <c r="J2" i="2"/>
  <c r="I2" i="2"/>
  <c r="H2" i="2"/>
  <c r="G24" i="7" l="1"/>
  <c r="F24" i="7"/>
  <c r="F26" i="7" s="1"/>
  <c r="E24" i="7"/>
  <c r="E25" i="7" s="1"/>
  <c r="J67" i="2"/>
  <c r="L67" i="2"/>
  <c r="K67" i="2"/>
  <c r="I67" i="2"/>
  <c r="G25" i="7"/>
  <c r="G26" i="7"/>
  <c r="L77" i="2"/>
  <c r="L75" i="2"/>
  <c r="K36" i="1"/>
  <c r="M14" i="5" s="1"/>
  <c r="M12" i="5" s="1"/>
  <c r="J19" i="9" s="1"/>
  <c r="J23" i="9" s="1"/>
  <c r="L76" i="2"/>
  <c r="H26" i="7"/>
  <c r="I66" i="2"/>
  <c r="J63" i="5" s="1"/>
  <c r="I70" i="2"/>
  <c r="J75" i="2"/>
  <c r="I36" i="1"/>
  <c r="K14" i="5" s="1"/>
  <c r="K12" i="5" s="1"/>
  <c r="J76" i="2"/>
  <c r="J77" i="2"/>
  <c r="H36" i="1"/>
  <c r="J14" i="5" s="1"/>
  <c r="J12" i="5" s="1"/>
  <c r="I76" i="2"/>
  <c r="I77" i="2"/>
  <c r="I75" i="2"/>
  <c r="M63" i="5"/>
  <c r="L70" i="2"/>
  <c r="J66" i="2"/>
  <c r="K63" i="5" s="1"/>
  <c r="J70" i="2"/>
  <c r="K66" i="2"/>
  <c r="L63" i="5" s="1"/>
  <c r="K70" i="2"/>
  <c r="J36" i="1"/>
  <c r="L14" i="5" s="1"/>
  <c r="L12" i="5" s="1"/>
  <c r="K77" i="2"/>
  <c r="K75" i="2"/>
  <c r="K76" i="2"/>
  <c r="E26" i="7"/>
  <c r="F25" i="7" l="1"/>
  <c r="F27" i="7" s="1"/>
  <c r="J72" i="2"/>
  <c r="I72" i="2"/>
  <c r="L72" i="2"/>
  <c r="K72" i="2"/>
  <c r="H27" i="7"/>
  <c r="E27" i="7"/>
  <c r="G27" i="7"/>
  <c r="L78" i="2"/>
  <c r="L81" i="2" s="1"/>
  <c r="I19" i="9"/>
  <c r="L101" i="2"/>
  <c r="K101" i="2"/>
  <c r="H20" i="9" s="1"/>
  <c r="K78" i="2"/>
  <c r="K81" i="2" s="1"/>
  <c r="L21" i="5" s="1"/>
  <c r="H19" i="9"/>
  <c r="H23" i="9" s="1"/>
  <c r="J78" i="2"/>
  <c r="J81" i="2" s="1"/>
  <c r="K21" i="5" s="1"/>
  <c r="J101" i="2"/>
  <c r="G20" i="9" s="1"/>
  <c r="G19" i="9"/>
  <c r="I78" i="2"/>
  <c r="I81" i="2" s="1"/>
  <c r="J21" i="5" s="1"/>
  <c r="I101" i="2"/>
  <c r="F19" i="9"/>
  <c r="J14" i="2" l="1"/>
  <c r="G9" i="9" s="1"/>
  <c r="K14" i="2"/>
  <c r="H9" i="9" s="1"/>
  <c r="E29" i="7"/>
  <c r="E31" i="7" s="1"/>
  <c r="I117" i="2" s="1"/>
  <c r="J25" i="5" s="1"/>
  <c r="I14" i="2"/>
  <c r="I16" i="2" s="1"/>
  <c r="I18" i="2" s="1"/>
  <c r="I27" i="2" s="1"/>
  <c r="G23" i="9"/>
  <c r="L14" i="2"/>
  <c r="I9" i="9" s="1"/>
  <c r="K94" i="2"/>
  <c r="M21" i="5"/>
  <c r="L94" i="2"/>
  <c r="F20" i="9"/>
  <c r="F23" i="9" s="1"/>
  <c r="I103" i="2"/>
  <c r="F8" i="9" s="1"/>
  <c r="J94" i="2"/>
  <c r="I94" i="2"/>
  <c r="I20" i="9"/>
  <c r="I23" i="9" s="1"/>
  <c r="J7" i="5" l="1"/>
  <c r="J99" i="2" s="1"/>
  <c r="J103" i="2" s="1"/>
  <c r="G8" i="9" s="1"/>
  <c r="F9" i="9"/>
  <c r="J16" i="2"/>
  <c r="J18" i="2" s="1"/>
  <c r="J27" i="2" s="1"/>
  <c r="J97" i="2" s="1"/>
  <c r="J96" i="2" s="1"/>
  <c r="I97" i="2"/>
  <c r="F29" i="7"/>
  <c r="F31" i="7" s="1"/>
  <c r="K15" i="2"/>
  <c r="K16" i="2" s="1"/>
  <c r="K18" i="2" s="1"/>
  <c r="K27" i="2" s="1"/>
  <c r="K97" i="2" s="1"/>
  <c r="K96" i="2" s="1"/>
  <c r="J6" i="5" l="1"/>
  <c r="J19" i="5" s="1"/>
  <c r="I105" i="2"/>
  <c r="I110" i="2" s="1"/>
  <c r="I115" i="2" s="1"/>
  <c r="I116" i="2" s="1"/>
  <c r="I96" i="2"/>
  <c r="J117" i="2"/>
  <c r="K25" i="5" s="1"/>
  <c r="G29" i="7"/>
  <c r="K7" i="5"/>
  <c r="J105" i="2"/>
  <c r="J110" i="2" s="1"/>
  <c r="J115" i="2" s="1"/>
  <c r="J116" i="2" s="1"/>
  <c r="L15" i="2"/>
  <c r="L16" i="2" s="1"/>
  <c r="L18" i="2" s="1"/>
  <c r="L27" i="2" s="1"/>
  <c r="L97" i="2" s="1"/>
  <c r="L96" i="2" s="1"/>
  <c r="K23" i="5" l="1"/>
  <c r="K67" i="5"/>
  <c r="K70" i="5" s="1"/>
  <c r="I119" i="2"/>
  <c r="F6" i="9" s="1"/>
  <c r="F11" i="9" s="1"/>
  <c r="J23" i="5"/>
  <c r="J67" i="5"/>
  <c r="J70" i="5" s="1"/>
  <c r="M15" i="2"/>
  <c r="M16" i="2" s="1"/>
  <c r="M18" i="2" s="1"/>
  <c r="M27" i="2" s="1"/>
  <c r="M97" i="2" s="1"/>
  <c r="M96" i="2" s="1"/>
  <c r="K99" i="2"/>
  <c r="K103" i="2" s="1"/>
  <c r="K6" i="5"/>
  <c r="K19" i="5" s="1"/>
  <c r="G31" i="7"/>
  <c r="K117" i="2" s="1"/>
  <c r="L25" i="5" s="1"/>
  <c r="H29" i="7"/>
  <c r="H31" i="7" s="1"/>
  <c r="J74" i="5" l="1"/>
  <c r="K74" i="5"/>
  <c r="L117" i="2"/>
  <c r="M25" i="5" s="1"/>
  <c r="I29" i="7"/>
  <c r="N15" i="2"/>
  <c r="N16" i="2" s="1"/>
  <c r="N18" i="2" s="1"/>
  <c r="N27" i="2" s="1"/>
  <c r="N97" i="2" s="1"/>
  <c r="N96" i="2" s="1"/>
  <c r="J48" i="5"/>
  <c r="L7" i="5"/>
  <c r="L99" i="2" s="1"/>
  <c r="L103" i="2" s="1"/>
  <c r="J119" i="2"/>
  <c r="H8" i="9"/>
  <c r="K105" i="2"/>
  <c r="K110" i="2" s="1"/>
  <c r="K115" i="2" s="1"/>
  <c r="G13" i="9" l="1"/>
  <c r="J29" i="7"/>
  <c r="I31" i="7"/>
  <c r="M117" i="2" s="1"/>
  <c r="N25" i="5" s="1"/>
  <c r="O15" i="2"/>
  <c r="O16" i="2" s="1"/>
  <c r="O18" i="2" s="1"/>
  <c r="O27" i="2" s="1"/>
  <c r="O97" i="2" s="1"/>
  <c r="O96" i="2" s="1"/>
  <c r="L6" i="5"/>
  <c r="L19" i="5" s="1"/>
  <c r="M7" i="5"/>
  <c r="K48" i="5"/>
  <c r="G6" i="9"/>
  <c r="G11" i="9" s="1"/>
  <c r="G15" i="9" s="1"/>
  <c r="G25" i="9" s="1"/>
  <c r="I8" i="9"/>
  <c r="L105" i="2"/>
  <c r="L110" i="2" s="1"/>
  <c r="L115" i="2" s="1"/>
  <c r="K116" i="2"/>
  <c r="L23" i="5" l="1"/>
  <c r="L67" i="5"/>
  <c r="P15" i="2"/>
  <c r="P16" i="2" s="1"/>
  <c r="P18" i="2" s="1"/>
  <c r="P27" i="2" s="1"/>
  <c r="P97" i="2" s="1"/>
  <c r="P96" i="2" s="1"/>
  <c r="K29" i="7"/>
  <c r="J31" i="7"/>
  <c r="N117" i="2" s="1"/>
  <c r="M6" i="5"/>
  <c r="M19" i="5" s="1"/>
  <c r="M99" i="2"/>
  <c r="M103" i="2" s="1"/>
  <c r="K119" i="2"/>
  <c r="L116" i="2"/>
  <c r="G33" i="9"/>
  <c r="G36" i="9" s="1"/>
  <c r="F5" i="10"/>
  <c r="L70" i="5" l="1"/>
  <c r="L74" i="5" s="1"/>
  <c r="H13" i="9" s="1"/>
  <c r="M23" i="5"/>
  <c r="M67" i="5"/>
  <c r="M70" i="5" s="1"/>
  <c r="Q15" i="2"/>
  <c r="Q16" i="2" s="1"/>
  <c r="Q18" i="2" s="1"/>
  <c r="Q27" i="2" s="1"/>
  <c r="Q97" i="2" s="1"/>
  <c r="Q96" i="2" s="1"/>
  <c r="L119" i="2"/>
  <c r="I6" i="9" s="1"/>
  <c r="I11" i="9" s="1"/>
  <c r="M105" i="2"/>
  <c r="M110" i="2" s="1"/>
  <c r="M115" i="2" s="1"/>
  <c r="M116" i="2" s="1"/>
  <c r="J8" i="9"/>
  <c r="N7" i="5"/>
  <c r="O25" i="5"/>
  <c r="L29" i="7"/>
  <c r="K31" i="7"/>
  <c r="O117" i="2" s="1"/>
  <c r="F6" i="10"/>
  <c r="H6" i="9"/>
  <c r="H11" i="9" s="1"/>
  <c r="L48" i="5"/>
  <c r="M74" i="5" l="1"/>
  <c r="I13" i="9" s="1"/>
  <c r="I15" i="9" s="1"/>
  <c r="I25" i="9" s="1"/>
  <c r="H15" i="9"/>
  <c r="H25" i="9" s="1"/>
  <c r="H33" i="9" s="1"/>
  <c r="H36" i="9" s="1"/>
  <c r="N23" i="5"/>
  <c r="N67" i="5"/>
  <c r="N70" i="5" s="1"/>
  <c r="M119" i="2"/>
  <c r="N48" i="5" s="1"/>
  <c r="N6" i="5"/>
  <c r="N19" i="5" s="1"/>
  <c r="N99" i="2"/>
  <c r="N103" i="2" s="1"/>
  <c r="P25" i="5"/>
  <c r="L31" i="7"/>
  <c r="P117" i="2" s="1"/>
  <c r="M29" i="7"/>
  <c r="M31" i="7" s="1"/>
  <c r="Q117" i="2" s="1"/>
  <c r="M48" i="5"/>
  <c r="G5" i="10" l="1"/>
  <c r="G6" i="10" s="1"/>
  <c r="N74" i="5"/>
  <c r="J13" i="9" s="1"/>
  <c r="J6" i="9"/>
  <c r="J11" i="9" s="1"/>
  <c r="I33" i="9"/>
  <c r="I36" i="9" s="1"/>
  <c r="H5" i="10"/>
  <c r="H6" i="10" s="1"/>
  <c r="N105" i="2"/>
  <c r="N110" i="2" s="1"/>
  <c r="N115" i="2" s="1"/>
  <c r="N116" i="2" s="1"/>
  <c r="K8" i="9"/>
  <c r="O7" i="5"/>
  <c r="R25" i="5"/>
  <c r="Q25" i="5"/>
  <c r="J15" i="9" l="1"/>
  <c r="J25" i="9" s="1"/>
  <c r="J33" i="9" s="1"/>
  <c r="J36" i="9" s="1"/>
  <c r="O23" i="5"/>
  <c r="O67" i="5"/>
  <c r="N119" i="2"/>
  <c r="O48" i="5" s="1"/>
  <c r="O6" i="5"/>
  <c r="O19" i="5" s="1"/>
  <c r="O99" i="2"/>
  <c r="O103" i="2" s="1"/>
  <c r="O70" i="5" l="1"/>
  <c r="O74" i="5" s="1"/>
  <c r="K13" i="9" s="1"/>
  <c r="I5" i="10"/>
  <c r="I6" i="10" s="1"/>
  <c r="O105" i="2"/>
  <c r="O110" i="2" s="1"/>
  <c r="O115" i="2" s="1"/>
  <c r="O116" i="2" s="1"/>
  <c r="L8" i="9"/>
  <c r="K6" i="9"/>
  <c r="K11" i="9" s="1"/>
  <c r="P7" i="5"/>
  <c r="K15" i="9" l="1"/>
  <c r="K25" i="9" s="1"/>
  <c r="P23" i="5"/>
  <c r="P67" i="5"/>
  <c r="K33" i="9"/>
  <c r="K36" i="9" s="1"/>
  <c r="J5" i="10"/>
  <c r="J6" i="10" s="1"/>
  <c r="O119" i="2"/>
  <c r="P6" i="5"/>
  <c r="P19" i="5" s="1"/>
  <c r="P99" i="2"/>
  <c r="P103" i="2" s="1"/>
  <c r="P70" i="5" l="1"/>
  <c r="P74" i="5" s="1"/>
  <c r="L13" i="9" s="1"/>
  <c r="P105" i="2"/>
  <c r="P110" i="2" s="1"/>
  <c r="P115" i="2" s="1"/>
  <c r="M8" i="9"/>
  <c r="P48" i="5"/>
  <c r="L6" i="9"/>
  <c r="L11" i="9" s="1"/>
  <c r="Q7" i="5"/>
  <c r="L15" i="9" l="1"/>
  <c r="L25" i="9" s="1"/>
  <c r="K5" i="10" s="1"/>
  <c r="L33" i="9"/>
  <c r="L36" i="9" s="1"/>
  <c r="P116" i="2"/>
  <c r="Q6" i="5"/>
  <c r="Q19" i="5" s="1"/>
  <c r="Q99" i="2"/>
  <c r="Q103" i="2" s="1"/>
  <c r="Q23" i="5" l="1"/>
  <c r="Q67" i="5"/>
  <c r="Q70" i="5" s="1"/>
  <c r="K6" i="10"/>
  <c r="R7" i="5"/>
  <c r="R6" i="5" s="1"/>
  <c r="R19" i="5" s="1"/>
  <c r="Q105" i="2"/>
  <c r="Q110" i="2" s="1"/>
  <c r="Q115" i="2" s="1"/>
  <c r="Q116" i="2" s="1"/>
  <c r="N8" i="9"/>
  <c r="P119" i="2"/>
  <c r="Q74" i="5" l="1"/>
  <c r="M13" i="9" s="1"/>
  <c r="R23" i="5"/>
  <c r="R67" i="5"/>
  <c r="R70" i="5" s="1"/>
  <c r="Q48" i="5"/>
  <c r="M6" i="9"/>
  <c r="M11" i="9" s="1"/>
  <c r="Q119" i="2"/>
  <c r="R74" i="5" l="1"/>
  <c r="N13" i="9" s="1"/>
  <c r="M15" i="9"/>
  <c r="M25" i="9" s="1"/>
  <c r="R48" i="5"/>
  <c r="N6" i="9"/>
  <c r="N11" i="9" s="1"/>
  <c r="H97" i="2"/>
  <c r="M33" i="9" l="1"/>
  <c r="M36" i="9" s="1"/>
  <c r="L5" i="10"/>
  <c r="N15" i="9"/>
  <c r="N25" i="9" s="1"/>
  <c r="H105" i="2"/>
  <c r="H96" i="2"/>
  <c r="N33" i="9" l="1"/>
  <c r="N36" i="9" s="1"/>
  <c r="M5" i="10"/>
  <c r="L6" i="10"/>
  <c r="H110" i="2"/>
  <c r="H115" i="2" s="1"/>
  <c r="H116" i="2" s="1"/>
  <c r="N5" i="10" l="1"/>
  <c r="D8" i="10" s="1"/>
  <c r="D9" i="10" s="1"/>
  <c r="M6" i="10"/>
  <c r="H119" i="2"/>
  <c r="I67" i="5"/>
  <c r="I70" i="5" s="1"/>
  <c r="I23" i="5"/>
  <c r="I48" i="5"/>
  <c r="J47" i="5" s="1"/>
  <c r="E6" i="9"/>
  <c r="E11" i="9" s="1"/>
  <c r="I74" i="5" l="1"/>
  <c r="E13" i="9" s="1"/>
  <c r="E15" i="9" s="1"/>
  <c r="E25" i="9" s="1"/>
  <c r="I50" i="5"/>
  <c r="I57" i="5" s="1"/>
  <c r="I72" i="5" s="1"/>
  <c r="K47" i="5"/>
  <c r="J50" i="5"/>
  <c r="J57" i="5" s="1"/>
  <c r="J72" i="5" s="1"/>
  <c r="F13" i="9" l="1"/>
  <c r="F15" i="9" s="1"/>
  <c r="F25" i="9" s="1"/>
  <c r="F33" i="9" s="1"/>
  <c r="F36" i="9" s="1"/>
  <c r="D5" i="10"/>
  <c r="D6" i="10" s="1"/>
  <c r="E33" i="9"/>
  <c r="E36" i="9" s="1"/>
  <c r="E37" i="9" s="1"/>
  <c r="F35" i="9" s="1"/>
  <c r="K50" i="5"/>
  <c r="K57" i="5" s="1"/>
  <c r="K72" i="5" s="1"/>
  <c r="L47" i="5"/>
  <c r="E5" i="10" l="1"/>
  <c r="E6" i="10" s="1"/>
  <c r="D7" i="10" s="1"/>
  <c r="D10" i="10" s="1"/>
  <c r="D12" i="10" s="1"/>
  <c r="D14" i="10" s="1"/>
  <c r="I29" i="5"/>
  <c r="I30" i="5" s="1"/>
  <c r="I31" i="5" s="1"/>
  <c r="I34" i="5" s="1"/>
  <c r="F37" i="9"/>
  <c r="M47" i="5"/>
  <c r="L50" i="5"/>
  <c r="L57" i="5" s="1"/>
  <c r="L72" i="5" s="1"/>
  <c r="D13" i="10" l="1"/>
  <c r="G35" i="9"/>
  <c r="G37" i="9" s="1"/>
  <c r="J29" i="5"/>
  <c r="J30" i="5" s="1"/>
  <c r="J31" i="5" s="1"/>
  <c r="J34" i="5" s="1"/>
  <c r="N47" i="5"/>
  <c r="M50" i="5"/>
  <c r="M57" i="5" s="1"/>
  <c r="M72" i="5" s="1"/>
  <c r="H35" i="9" l="1"/>
  <c r="H37" i="9" s="1"/>
  <c r="K29" i="5"/>
  <c r="K30" i="5" s="1"/>
  <c r="K31" i="5" s="1"/>
  <c r="K34" i="5" s="1"/>
  <c r="N50" i="5"/>
  <c r="N57" i="5" s="1"/>
  <c r="N72" i="5" s="1"/>
  <c r="O47" i="5"/>
  <c r="L29" i="5" l="1"/>
  <c r="L30" i="5" s="1"/>
  <c r="L31" i="5" s="1"/>
  <c r="L34" i="5" s="1"/>
  <c r="I35" i="9"/>
  <c r="I37" i="9" s="1"/>
  <c r="P47" i="5"/>
  <c r="O50" i="5"/>
  <c r="O57" i="5" s="1"/>
  <c r="O72" i="5" s="1"/>
  <c r="M29" i="5" l="1"/>
  <c r="M30" i="5" s="1"/>
  <c r="M31" i="5" s="1"/>
  <c r="M34" i="5" s="1"/>
  <c r="J35" i="9"/>
  <c r="J37" i="9" s="1"/>
  <c r="Q47" i="5"/>
  <c r="P50" i="5"/>
  <c r="P57" i="5" s="1"/>
  <c r="P72" i="5" s="1"/>
  <c r="K35" i="9" l="1"/>
  <c r="K37" i="9" s="1"/>
  <c r="N29" i="5"/>
  <c r="N30" i="5" s="1"/>
  <c r="N31" i="5" s="1"/>
  <c r="N34" i="5" s="1"/>
  <c r="R47" i="5"/>
  <c r="R50" i="5" s="1"/>
  <c r="R57" i="5" s="1"/>
  <c r="R72" i="5" s="1"/>
  <c r="Q50" i="5"/>
  <c r="Q57" i="5" s="1"/>
  <c r="Q72" i="5" s="1"/>
  <c r="O29" i="5" l="1"/>
  <c r="O30" i="5" s="1"/>
  <c r="O31" i="5" s="1"/>
  <c r="O34" i="5" s="1"/>
  <c r="L35" i="9"/>
  <c r="L37" i="9" s="1"/>
  <c r="M35" i="9" l="1"/>
  <c r="M37" i="9" s="1"/>
  <c r="P29" i="5"/>
  <c r="P30" i="5" s="1"/>
  <c r="P31" i="5" s="1"/>
  <c r="P34" i="5" s="1"/>
  <c r="N35" i="9" l="1"/>
  <c r="N37" i="9" s="1"/>
  <c r="R29" i="5" s="1"/>
  <c r="R30" i="5" s="1"/>
  <c r="R31" i="5" s="1"/>
  <c r="R34" i="5" s="1"/>
  <c r="Q29" i="5"/>
  <c r="Q30" i="5" s="1"/>
  <c r="Q31" i="5" s="1"/>
  <c r="Q34" i="5" s="1"/>
</calcChain>
</file>

<file path=xl/sharedStrings.xml><?xml version="1.0" encoding="utf-8"?>
<sst xmlns="http://schemas.openxmlformats.org/spreadsheetml/2006/main" count="335" uniqueCount="282">
  <si>
    <t>CTO data scientist</t>
  </si>
  <si>
    <t>Dev + community manager</t>
  </si>
  <si>
    <t>Recherche et innovation</t>
  </si>
  <si>
    <t>Doctorant (thèse)</t>
  </si>
  <si>
    <t>Resp études transition num. RSE</t>
  </si>
  <si>
    <t>Responsable projet</t>
  </si>
  <si>
    <t>Resp études expé - transitions num.</t>
  </si>
  <si>
    <t>Resp études expé</t>
  </si>
  <si>
    <t>Date de recrutement</t>
  </si>
  <si>
    <t>Fonction</t>
  </si>
  <si>
    <t>COMPTE DE RÉSULTAT</t>
  </si>
  <si>
    <t>Total produits d'exploitation</t>
  </si>
  <si>
    <t>Total Charges Directes d'Exploitation</t>
  </si>
  <si>
    <t>Marge Directe d'Exploitation</t>
  </si>
  <si>
    <t>Loyers immobiliers</t>
  </si>
  <si>
    <t>Impôts fonciers</t>
  </si>
  <si>
    <t xml:space="preserve">Charges local </t>
  </si>
  <si>
    <t>Total coût du local</t>
  </si>
  <si>
    <t>Total coût des employés</t>
  </si>
  <si>
    <t>Honoraires comptables</t>
  </si>
  <si>
    <t>Téléphonie</t>
  </si>
  <si>
    <t>Fournitures diverses</t>
  </si>
  <si>
    <t>Frais bancaires</t>
  </si>
  <si>
    <t>Total autres achats et charges externes</t>
  </si>
  <si>
    <t>Total des coûts de marketing</t>
  </si>
  <si>
    <t>Excédent Brut d'Exploitation</t>
  </si>
  <si>
    <t>Total DAO/DAP</t>
  </si>
  <si>
    <t>Résultat d'Exploitation</t>
  </si>
  <si>
    <t>Intérêts d'emprunt</t>
  </si>
  <si>
    <t>Résultat Financier</t>
  </si>
  <si>
    <t>Résultat Courant avant Impôt</t>
  </si>
  <si>
    <t>Produits Exceptionnels</t>
  </si>
  <si>
    <t>Charges Exceptionnelles</t>
  </si>
  <si>
    <t>Résultat Exceptionnel</t>
  </si>
  <si>
    <t>Résultat net</t>
  </si>
  <si>
    <t>Salaire brut</t>
  </si>
  <si>
    <t>Augmentation salaire (/ 2021)</t>
  </si>
  <si>
    <t>Ingénieur 1</t>
  </si>
  <si>
    <t>Ingénieur 2</t>
  </si>
  <si>
    <t>Ingénieur 3</t>
  </si>
  <si>
    <t>Fonction support 1</t>
  </si>
  <si>
    <t>Fonction support 2</t>
  </si>
  <si>
    <t>Fonction support 3</t>
  </si>
  <si>
    <t>Post doc 1</t>
  </si>
  <si>
    <t>Post doc 2</t>
  </si>
  <si>
    <t>Data scientist 1</t>
  </si>
  <si>
    <t>Data scientist 2</t>
  </si>
  <si>
    <t>Dev + community manager 1</t>
  </si>
  <si>
    <t>Dev + community manager 2</t>
  </si>
  <si>
    <t>Dev + community manager 3</t>
  </si>
  <si>
    <t>Ingénieur technico-commercial 1</t>
  </si>
  <si>
    <t>Ingénieur technico-commercial 2</t>
  </si>
  <si>
    <t>Post doc 3</t>
  </si>
  <si>
    <t>Post doc 4</t>
  </si>
  <si>
    <t>Resp études transitions num. 1</t>
  </si>
  <si>
    <t>Resp études transitions num. 2</t>
  </si>
  <si>
    <t>Salaire brut personnel R&amp;D</t>
  </si>
  <si>
    <t>Salaire brut personnel non R&amp;D</t>
  </si>
  <si>
    <t>Impôts et taxes sur salaires (FPC + TA) : 1,23%</t>
  </si>
  <si>
    <t>Loyers brut du local immobiliers (/m)</t>
  </si>
  <si>
    <t>Impôts fonciers / an en nb de loyers bruts</t>
  </si>
  <si>
    <t>Charges mensuelles du local (en % du loyer)</t>
  </si>
  <si>
    <t>Prix de vente HT/an</t>
  </si>
  <si>
    <t xml:space="preserve">Nombre de clients </t>
  </si>
  <si>
    <t>Année</t>
  </si>
  <si>
    <t>XV</t>
  </si>
  <si>
    <t>XVV</t>
  </si>
  <si>
    <t>Flux n°2 : XVV grands groupes et institutionnels</t>
  </si>
  <si>
    <t>Flux n°1 : XV pme, startups et mairies</t>
  </si>
  <si>
    <t>Abonnements XV : PME, startups et mairies</t>
  </si>
  <si>
    <t>Abonnements XVV : Grands groupes et institutions</t>
  </si>
  <si>
    <t xml:space="preserve">1 clients XV </t>
  </si>
  <si>
    <t>particuliers</t>
  </si>
  <si>
    <t>1 clients XVV</t>
  </si>
  <si>
    <t>Nombre d'utilisateurs</t>
  </si>
  <si>
    <t>Hypothèse d'utilisateurs</t>
  </si>
  <si>
    <t>Offre promotionnelles</t>
  </si>
  <si>
    <t>Coûts d'hébergements de la solution</t>
  </si>
  <si>
    <t>Offre promotionnelles (% du CA)</t>
  </si>
  <si>
    <t>Chiffre d'affaires HT</t>
  </si>
  <si>
    <t>Coûts d'hébergement web (% du CA)</t>
  </si>
  <si>
    <t>Rétrocessions €HT /1000 utilisateurs</t>
  </si>
  <si>
    <t>Commissions commerciales</t>
  </si>
  <si>
    <t>Honoraires comptables (% du CA)</t>
  </si>
  <si>
    <t>Nombre d'ETP</t>
  </si>
  <si>
    <r>
      <t xml:space="preserve">Téléphonie ( </t>
    </r>
    <r>
      <rPr>
        <b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€/mois/ETP + 200 fixes)</t>
    </r>
  </si>
  <si>
    <t>Assurance RC PRO</t>
  </si>
  <si>
    <t>Assurance RC PRO / mois / ETP</t>
  </si>
  <si>
    <t>Fournitures diverses / mois / ETP</t>
  </si>
  <si>
    <t>Matériel informatique déféctueux/an (% immobilisation employés)</t>
  </si>
  <si>
    <t>Frais bancaires (% CA annuel)</t>
  </si>
  <si>
    <t>Budget Google Adwords</t>
  </si>
  <si>
    <t>Budget FB ads</t>
  </si>
  <si>
    <t>Budget Instagram ads</t>
  </si>
  <si>
    <t>Budhet Youtube</t>
  </si>
  <si>
    <t>Budget affichage</t>
  </si>
  <si>
    <t>Frais agence marketing</t>
  </si>
  <si>
    <t>Budget Marketing (annuel)</t>
  </si>
  <si>
    <t>Budget participations salons</t>
  </si>
  <si>
    <t>Total des charges indirectes d'exploitation</t>
  </si>
  <si>
    <t>Rétrocession receveurs de likes</t>
  </si>
  <si>
    <t>Bilan</t>
  </si>
  <si>
    <t>ACTIF</t>
  </si>
  <si>
    <t>Capital souscrit non appelé</t>
  </si>
  <si>
    <t>Immobilisations incorporelles</t>
  </si>
  <si>
    <t>é</t>
  </si>
  <si>
    <t>s</t>
  </si>
  <si>
    <t>Site internet et logo</t>
  </si>
  <si>
    <t>i</t>
  </si>
  <si>
    <t>l</t>
  </si>
  <si>
    <t>b</t>
  </si>
  <si>
    <t>m</t>
  </si>
  <si>
    <t>Immobilisations corporelles</t>
  </si>
  <si>
    <t>o</t>
  </si>
  <si>
    <t>t</t>
  </si>
  <si>
    <t>c</t>
  </si>
  <si>
    <t>Immobilisations financières (2)</t>
  </si>
  <si>
    <t>Garantie de loyer</t>
  </si>
  <si>
    <t>Total (I)</t>
  </si>
  <si>
    <t>a</t>
  </si>
  <si>
    <t>u</t>
  </si>
  <si>
    <t>Créance fiscale (TVA)</t>
  </si>
  <si>
    <t>r</t>
  </si>
  <si>
    <t>Disponibilité</t>
  </si>
  <si>
    <t>Total (II)</t>
  </si>
  <si>
    <t>TOTAL GENERAL (I+II)</t>
  </si>
  <si>
    <t>Ecart actif/passif</t>
  </si>
  <si>
    <t>PASSIF</t>
  </si>
  <si>
    <t>Capital</t>
  </si>
  <si>
    <t>e</t>
  </si>
  <si>
    <t>Primes d'émission</t>
  </si>
  <si>
    <t>Réserves</t>
  </si>
  <si>
    <t>p</t>
  </si>
  <si>
    <t>Réserve légale</t>
  </si>
  <si>
    <t>Réserves statutaires</t>
  </si>
  <si>
    <t>Réserve réglementées</t>
  </si>
  <si>
    <t>P</t>
  </si>
  <si>
    <t>Autres</t>
  </si>
  <si>
    <t>Reports à nouveau</t>
  </si>
  <si>
    <t>x</t>
  </si>
  <si>
    <t>Résultat de l'exercice</t>
  </si>
  <si>
    <t>Provisions réglementées</t>
  </si>
  <si>
    <t>Total I</t>
  </si>
  <si>
    <t>Subventions d'investissements</t>
  </si>
  <si>
    <t>Total II</t>
  </si>
  <si>
    <t>Provisons pour aléas</t>
  </si>
  <si>
    <t>C</t>
  </si>
  <si>
    <t>Total III</t>
  </si>
  <si>
    <t>Total A (I+II+III)</t>
  </si>
  <si>
    <t>Dettes fiscales (TVA)</t>
  </si>
  <si>
    <t>Dettes fiscales (IS)</t>
  </si>
  <si>
    <t>D</t>
  </si>
  <si>
    <t>Concours bancaires courants</t>
  </si>
  <si>
    <t>Total B</t>
  </si>
  <si>
    <t xml:space="preserve">Ecarts de conversion passif        </t>
  </si>
  <si>
    <t>TOTAL GENERAL (A+B)</t>
  </si>
  <si>
    <t>Frais de développement</t>
  </si>
  <si>
    <t>Matériel salarié non R&amp;D</t>
  </si>
  <si>
    <t>Matériel salarié R&amp;D</t>
  </si>
  <si>
    <t xml:space="preserve">Créances impôts sur les sociétés </t>
  </si>
  <si>
    <t>Créances CIR</t>
  </si>
  <si>
    <t>Autres créances</t>
  </si>
  <si>
    <t>Plateforme XValuator XVV</t>
  </si>
  <si>
    <t>Plateforme XValuator XV</t>
  </si>
  <si>
    <t>Emprunts et dettes auprès d'établissements de crédits</t>
  </si>
  <si>
    <t>Durée amortissement (m)</t>
  </si>
  <si>
    <t>% renouvellement</t>
  </si>
  <si>
    <t>Plateforme XVV</t>
  </si>
  <si>
    <t>Plateforme XV</t>
  </si>
  <si>
    <t>Site internet + logo</t>
  </si>
  <si>
    <t>2021 Capex</t>
  </si>
  <si>
    <t>Online</t>
  </si>
  <si>
    <t>Worker</t>
  </si>
  <si>
    <t>Pack salarié non R&amp;D</t>
  </si>
  <si>
    <t>Pack salarié R&amp;D</t>
  </si>
  <si>
    <t>Financial</t>
  </si>
  <si>
    <t xml:space="preserve">Garantie de loyer </t>
  </si>
  <si>
    <t>mois de loyer</t>
  </si>
  <si>
    <t>Nombre d'ETP non R&amp;D</t>
  </si>
  <si>
    <t>Nombre d'ETP R&amp;D</t>
  </si>
  <si>
    <t>Salaire bruts mensuels (totaux)</t>
  </si>
  <si>
    <t>Salaires bruts mensuels (non R&amp;D)</t>
  </si>
  <si>
    <t>Taux R&amp;D</t>
  </si>
  <si>
    <t>Quote part salaire brut alloué à la R&amp;D</t>
  </si>
  <si>
    <t>Taux du CIR</t>
  </si>
  <si>
    <t>Total salaires bruts</t>
  </si>
  <si>
    <t>(+) charges patronales</t>
  </si>
  <si>
    <t>(+) frais de fonctionnements (43%)</t>
  </si>
  <si>
    <t>(-) subventions à l'innovation obtenues</t>
  </si>
  <si>
    <t>Assiette CIR</t>
  </si>
  <si>
    <t>Montant de CIR obtenu</t>
  </si>
  <si>
    <t>Ingrid Vaileanu</t>
  </si>
  <si>
    <t>Subventions BPI obtenue</t>
  </si>
  <si>
    <t>Levée de fonds</t>
  </si>
  <si>
    <t>Subventions obtenues</t>
  </si>
  <si>
    <t>Total des autres produits d'exploitation</t>
  </si>
  <si>
    <t>Dotations aux amortissements capital immatériel</t>
  </si>
  <si>
    <t>Frais de R&amp;D immobilisés</t>
  </si>
  <si>
    <t>Voir Calcul du CIR</t>
  </si>
  <si>
    <t>Dotations aux amortissements R&amp;D immobilisée</t>
  </si>
  <si>
    <t>Dotations aux amortissements immobilisation corporelles</t>
  </si>
  <si>
    <t>Réparation matériel déféctueux</t>
  </si>
  <si>
    <t>(-) Impôt sur les bénéfices</t>
  </si>
  <si>
    <t>(+) Crédit d'impôts recherche obtenu</t>
  </si>
  <si>
    <t>Capitaux provenant de la levée de fonds</t>
  </si>
  <si>
    <t>Besoin en fonds de roulement</t>
  </si>
  <si>
    <t>Résultat net Comptable</t>
  </si>
  <si>
    <t>(+/-) DAP nettes</t>
  </si>
  <si>
    <t>(-) Production immobilisée</t>
  </si>
  <si>
    <t>CAF</t>
  </si>
  <si>
    <t>(-) Var. BFR</t>
  </si>
  <si>
    <t>FLUX D'EXPLOITATION</t>
  </si>
  <si>
    <t>FLUX D'INVESTISSEMENT</t>
  </si>
  <si>
    <t>FREE CASH FLOW</t>
  </si>
  <si>
    <t>(+) Augmentation de capital</t>
  </si>
  <si>
    <t>(+) Augmentation (remboursement) dettes bancaires</t>
  </si>
  <si>
    <t>FLUX DE FINANCEMENT</t>
  </si>
  <si>
    <t>FLUX NETS</t>
  </si>
  <si>
    <t>Trésorerie début d'exercice</t>
  </si>
  <si>
    <t>Var. de trésorerie de l'exercice</t>
  </si>
  <si>
    <t>Trésorerie fin d'exercice</t>
  </si>
  <si>
    <t>2021 (p)</t>
  </si>
  <si>
    <t>2022 (p)</t>
  </si>
  <si>
    <t>2023 (p)</t>
  </si>
  <si>
    <t>2024 (p)</t>
  </si>
  <si>
    <t>2025 (p)</t>
  </si>
  <si>
    <t>CAPEX de renouvellement immo corpo</t>
  </si>
  <si>
    <t>CAPEX de renouvellement immo incorpo</t>
  </si>
  <si>
    <t>CAPEX initial immobilisation corporelle</t>
  </si>
  <si>
    <t>CAPEX immobilisation financière</t>
  </si>
  <si>
    <t>CAPEX immobilisation incorporelle</t>
  </si>
  <si>
    <t>Dettes sociales (1 mois de salaires + Ursaaf nov et dec)</t>
  </si>
  <si>
    <t>Free Cash Flow</t>
  </si>
  <si>
    <t>Période d'escompte (levée fin mars)</t>
  </si>
  <si>
    <t>WACC</t>
  </si>
  <si>
    <t>g</t>
  </si>
  <si>
    <t>normatif</t>
  </si>
  <si>
    <t>FCF actualisé</t>
  </si>
  <si>
    <t>Terminal value</t>
  </si>
  <si>
    <t>Somme FCFa</t>
  </si>
  <si>
    <t>Terminal value actualisée</t>
  </si>
  <si>
    <t>Désendettement net</t>
  </si>
  <si>
    <t>Valeur de l'entreprise</t>
  </si>
  <si>
    <t>Valorisation pré-money</t>
  </si>
  <si>
    <t>Valorisation post-money</t>
  </si>
  <si>
    <t>% offert à souscription</t>
  </si>
  <si>
    <t>Résultat Courant Avant Impôts</t>
  </si>
  <si>
    <t>Source : https://blossomstreetventures.medium.com/saas-multiples-in-q4-95855c64d69d</t>
  </si>
  <si>
    <t>% de renouvellement :</t>
  </si>
  <si>
    <t xml:space="preserve">     -plus = actif net augmente avev le temps</t>
  </si>
  <si>
    <t xml:space="preserve">     -100% = réinvestissement des amortissements</t>
  </si>
  <si>
    <t xml:space="preserve">     -moins = actif net diminue avec le temps</t>
  </si>
  <si>
    <t>R&amp;D interne immobilisée</t>
  </si>
  <si>
    <t>2026 (p)</t>
  </si>
  <si>
    <t>2027 (p)</t>
  </si>
  <si>
    <t>2028 (p)</t>
  </si>
  <si>
    <t>2029 (p)</t>
  </si>
  <si>
    <t>2030 (p)</t>
  </si>
  <si>
    <t>Taux hors assurance</t>
  </si>
  <si>
    <t>Date de début remboursement</t>
  </si>
  <si>
    <t>Durée de remboursement (mois)</t>
  </si>
  <si>
    <t>Montant</t>
  </si>
  <si>
    <t>Mois</t>
  </si>
  <si>
    <t>CRD début</t>
  </si>
  <si>
    <t>Mensualités totale</t>
  </si>
  <si>
    <t>Intérêts + assurance</t>
  </si>
  <si>
    <t>Amortissement</t>
  </si>
  <si>
    <t>CRD fin</t>
  </si>
  <si>
    <t>Nouveau crédit</t>
  </si>
  <si>
    <t>Prêt BPI</t>
  </si>
  <si>
    <t>Déblocage : avril 2021</t>
  </si>
  <si>
    <t>% EBITDA Retraité (EBITDA - prod immobilisée / CA)</t>
  </si>
  <si>
    <t xml:space="preserve">Voir rapport de Valorisation de M Alain Kaiser </t>
  </si>
  <si>
    <t>12 en 2022</t>
  </si>
  <si>
    <t>Déblocage : janvier 2022</t>
  </si>
  <si>
    <t>Taux de CP jusqu'en 2024</t>
  </si>
  <si>
    <t>Recherche et développement réalisé</t>
  </si>
  <si>
    <t>% de recherche réalisé</t>
  </si>
  <si>
    <t>(seul le développement est immobilisé)</t>
  </si>
  <si>
    <t>Charges patronales personnel non R&amp;D (40%)</t>
  </si>
  <si>
    <t>Charges patronales personnel R&amp;D (17% jusqu'en 2024)</t>
  </si>
  <si>
    <t>%EBITDA non retraité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</si>
</sst>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#,##0\ &quot;€&quot;;[Red]\-#,##0\ &quot;€&quot;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(* #,##0.00_);_(* \(#,##0.00\);_(* &quot;-&quot;??_);_(@_)"/>
    <numFmt numFmtId="165" formatCode="[$-409]d\-mmm\-yy;@"/>
    <numFmt numFmtId="166" formatCode="_-* #,##0_-;\-* #,##0_-;_-* &quot;-&quot;??_-;_-@_-"/>
    <numFmt numFmtId="167" formatCode="0.0%"/>
    <numFmt numFmtId="168" formatCode="_-* #,##0\ &quot;€&quot;_-;\-* #,##0\ &quot;€&quot;_-;_-* &quot;-&quot;??\ &quot;€&quot;_-;_-@_-"/>
    <numFmt numFmtId="169" formatCode="_(* #,##0&quot; €&quot;_);_(* \(#,##0&quot; €&quot;\);_(* &quot;-&quot;??_);_(@_)"/>
    <numFmt numFmtId="170" formatCode="#,##0\ &quot;€&quot;"/>
    <numFmt numFmtId="171" formatCode="0.00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C00000"/>
      <name val="Calibri"/>
      <family val="2"/>
      <scheme val="minor"/>
    </font>
    <font>
      <i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D9D9C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67">
    <border>
      <left/>
      <right/>
      <top/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2" tint="-0.24994659260841701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99">
    <xf numFmtId="0" fontId="0" fillId="0" borderId="0" xfId="0"/>
    <xf numFmtId="0" fontId="0" fillId="2" borderId="0" xfId="0" applyFill="1"/>
    <xf numFmtId="166" fontId="1" fillId="2" borderId="0" xfId="1" applyNumberFormat="1" applyFont="1" applyFill="1"/>
    <xf numFmtId="166" fontId="1" fillId="4" borderId="8" xfId="1" applyNumberFormat="1" applyFont="1" applyFill="1" applyBorder="1"/>
    <xf numFmtId="166" fontId="1" fillId="4" borderId="0" xfId="1" applyNumberFormat="1" applyFont="1" applyFill="1" applyBorder="1"/>
    <xf numFmtId="166" fontId="1" fillId="4" borderId="9" xfId="1" applyNumberFormat="1" applyFont="1" applyFill="1" applyBorder="1"/>
    <xf numFmtId="166" fontId="5" fillId="4" borderId="10" xfId="1" applyNumberFormat="1" applyFont="1" applyFill="1" applyBorder="1" applyAlignment="1">
      <alignment horizontal="center"/>
    </xf>
    <xf numFmtId="166" fontId="5" fillId="4" borderId="11" xfId="1" applyNumberFormat="1" applyFont="1" applyFill="1" applyBorder="1" applyAlignment="1">
      <alignment horizontal="center"/>
    </xf>
    <xf numFmtId="166" fontId="5" fillId="4" borderId="12" xfId="1" applyNumberFormat="1" applyFont="1" applyFill="1" applyBorder="1" applyAlignment="1">
      <alignment horizontal="center"/>
    </xf>
    <xf numFmtId="166" fontId="6" fillId="2" borderId="5" xfId="1" applyNumberFormat="1" applyFont="1" applyFill="1" applyBorder="1" applyAlignment="1">
      <alignment horizontal="center" vertical="top"/>
    </xf>
    <xf numFmtId="166" fontId="6" fillId="2" borderId="6" xfId="1" applyNumberFormat="1" applyFont="1" applyFill="1" applyBorder="1" applyAlignment="1">
      <alignment horizontal="center" vertical="top"/>
    </xf>
    <xf numFmtId="166" fontId="6" fillId="2" borderId="6" xfId="1" applyNumberFormat="1" applyFont="1" applyFill="1" applyBorder="1" applyAlignment="1">
      <alignment horizontal="right" vertical="top"/>
    </xf>
    <xf numFmtId="166" fontId="6" fillId="2" borderId="8" xfId="1" applyNumberFormat="1" applyFont="1" applyFill="1" applyBorder="1" applyAlignment="1">
      <alignment horizontal="center" vertical="top"/>
    </xf>
    <xf numFmtId="166" fontId="6" fillId="2" borderId="0" xfId="1" applyNumberFormat="1" applyFont="1" applyFill="1" applyBorder="1" applyAlignment="1">
      <alignment horizontal="center" vertical="top"/>
    </xf>
    <xf numFmtId="166" fontId="6" fillId="2" borderId="9" xfId="1" applyNumberFormat="1" applyFont="1" applyFill="1" applyBorder="1" applyAlignment="1">
      <alignment horizontal="right" vertical="top"/>
    </xf>
    <xf numFmtId="166" fontId="3" fillId="2" borderId="8" xfId="1" applyNumberFormat="1" applyFont="1" applyFill="1" applyBorder="1" applyAlignment="1">
      <alignment horizontal="center"/>
    </xf>
    <xf numFmtId="166" fontId="6" fillId="2" borderId="0" xfId="1" applyNumberFormat="1" applyFont="1" applyFill="1" applyBorder="1"/>
    <xf numFmtId="166" fontId="7" fillId="2" borderId="8" xfId="1" applyNumberFormat="1" applyFont="1" applyFill="1" applyBorder="1"/>
    <xf numFmtId="166" fontId="6" fillId="2" borderId="0" xfId="1" applyNumberFormat="1" applyFont="1" applyFill="1" applyBorder="1" applyAlignment="1">
      <alignment horizontal="right"/>
    </xf>
    <xf numFmtId="166" fontId="6" fillId="2" borderId="9" xfId="1" applyNumberFormat="1" applyFont="1" applyFill="1" applyBorder="1" applyAlignment="1">
      <alignment horizontal="right"/>
    </xf>
    <xf numFmtId="166" fontId="7" fillId="2" borderId="14" xfId="1" applyNumberFormat="1" applyFont="1" applyFill="1" applyBorder="1"/>
    <xf numFmtId="166" fontId="7" fillId="2" borderId="13" xfId="1" applyNumberFormat="1" applyFont="1" applyFill="1" applyBorder="1"/>
    <xf numFmtId="166" fontId="7" fillId="2" borderId="0" xfId="1" applyNumberFormat="1" applyFont="1" applyFill="1" applyBorder="1"/>
    <xf numFmtId="166" fontId="7" fillId="2" borderId="0" xfId="1" applyNumberFormat="1" applyFont="1" applyFill="1" applyBorder="1" applyAlignment="1">
      <alignment horizontal="right"/>
    </xf>
    <xf numFmtId="166" fontId="7" fillId="2" borderId="9" xfId="1" applyNumberFormat="1" applyFont="1" applyFill="1" applyBorder="1" applyAlignment="1">
      <alignment horizontal="right"/>
    </xf>
    <xf numFmtId="166" fontId="7" fillId="2" borderId="10" xfId="1" applyNumberFormat="1" applyFont="1" applyFill="1" applyBorder="1"/>
    <xf numFmtId="166" fontId="7" fillId="2" borderId="11" xfId="1" applyNumberFormat="1" applyFont="1" applyFill="1" applyBorder="1"/>
    <xf numFmtId="166" fontId="7" fillId="2" borderId="11" xfId="1" applyNumberFormat="1" applyFont="1" applyFill="1" applyBorder="1" applyAlignment="1">
      <alignment horizontal="right"/>
    </xf>
    <xf numFmtId="166" fontId="7" fillId="2" borderId="12" xfId="1" applyNumberFormat="1" applyFont="1" applyFill="1" applyBorder="1" applyAlignment="1">
      <alignment horizontal="right"/>
    </xf>
    <xf numFmtId="166" fontId="7" fillId="2" borderId="15" xfId="1" applyNumberFormat="1" applyFont="1" applyFill="1" applyBorder="1"/>
    <xf numFmtId="166" fontId="7" fillId="2" borderId="16" xfId="1" applyNumberFormat="1" applyFont="1" applyFill="1" applyBorder="1"/>
    <xf numFmtId="166" fontId="8" fillId="2" borderId="0" xfId="1" applyNumberFormat="1" applyFont="1" applyFill="1" applyBorder="1"/>
    <xf numFmtId="166" fontId="5" fillId="4" borderId="18" xfId="1" applyNumberFormat="1" applyFont="1" applyFill="1" applyBorder="1"/>
    <xf numFmtId="166" fontId="5" fillId="4" borderId="19" xfId="1" applyNumberFormat="1" applyFont="1" applyFill="1" applyBorder="1"/>
    <xf numFmtId="166" fontId="5" fillId="4" borderId="20" xfId="1" applyNumberFormat="1" applyFont="1" applyFill="1" applyBorder="1"/>
    <xf numFmtId="166" fontId="1" fillId="2" borderId="5" xfId="1" applyNumberFormat="1" applyFont="1" applyFill="1" applyBorder="1"/>
    <xf numFmtId="166" fontId="1" fillId="2" borderId="6" xfId="1" applyNumberFormat="1" applyFont="1" applyFill="1" applyBorder="1"/>
    <xf numFmtId="166" fontId="1" fillId="2" borderId="7" xfId="1" applyNumberFormat="1" applyFont="1" applyFill="1" applyBorder="1"/>
    <xf numFmtId="166" fontId="7" fillId="2" borderId="21" xfId="1" applyNumberFormat="1" applyFont="1" applyFill="1" applyBorder="1"/>
    <xf numFmtId="166" fontId="7" fillId="2" borderId="6" xfId="1" applyNumberFormat="1" applyFont="1" applyFill="1" applyBorder="1"/>
    <xf numFmtId="166" fontId="1" fillId="2" borderId="0" xfId="1" applyNumberFormat="1" applyFont="1" applyFill="1" applyBorder="1"/>
    <xf numFmtId="166" fontId="1" fillId="2" borderId="9" xfId="1" applyNumberFormat="1" applyFont="1" applyFill="1" applyBorder="1"/>
    <xf numFmtId="166" fontId="6" fillId="2" borderId="8" xfId="1" applyNumberFormat="1" applyFont="1" applyFill="1" applyBorder="1"/>
    <xf numFmtId="166" fontId="6" fillId="2" borderId="13" xfId="1" applyNumberFormat="1" applyFont="1" applyFill="1" applyBorder="1"/>
    <xf numFmtId="166" fontId="9" fillId="2" borderId="10" xfId="1" applyNumberFormat="1" applyFont="1" applyFill="1" applyBorder="1"/>
    <xf numFmtId="166" fontId="10" fillId="2" borderId="16" xfId="1" applyNumberFormat="1" applyFont="1" applyFill="1" applyBorder="1"/>
    <xf numFmtId="166" fontId="10" fillId="2" borderId="11" xfId="1" applyNumberFormat="1" applyFont="1" applyFill="1" applyBorder="1"/>
    <xf numFmtId="166" fontId="11" fillId="2" borderId="0" xfId="1" applyNumberFormat="1" applyFont="1" applyFill="1" applyBorder="1"/>
    <xf numFmtId="166" fontId="12" fillId="2" borderId="8" xfId="1" quotePrefix="1" applyNumberFormat="1" applyFont="1" applyFill="1" applyBorder="1" applyAlignment="1">
      <alignment horizontal="right"/>
    </xf>
    <xf numFmtId="166" fontId="5" fillId="2" borderId="0" xfId="1" quotePrefix="1" applyNumberFormat="1" applyFont="1" applyFill="1" applyBorder="1" applyAlignment="1">
      <alignment horizontal="right"/>
    </xf>
    <xf numFmtId="166" fontId="11" fillId="2" borderId="0" xfId="1" applyNumberFormat="1" applyFont="1" applyFill="1" applyBorder="1" applyAlignment="1">
      <alignment horizontal="right"/>
    </xf>
    <xf numFmtId="166" fontId="13" fillId="2" borderId="21" xfId="1" applyNumberFormat="1" applyFont="1" applyFill="1" applyBorder="1"/>
    <xf numFmtId="166" fontId="13" fillId="2" borderId="6" xfId="1" applyNumberFormat="1" applyFont="1" applyFill="1" applyBorder="1"/>
    <xf numFmtId="166" fontId="14" fillId="2" borderId="8" xfId="1" applyNumberFormat="1" applyFont="1" applyFill="1" applyBorder="1"/>
    <xf numFmtId="166" fontId="12" fillId="2" borderId="0" xfId="1" quotePrefix="1" applyNumberFormat="1" applyFont="1" applyFill="1" applyBorder="1" applyAlignment="1">
      <alignment horizontal="right"/>
    </xf>
    <xf numFmtId="166" fontId="12" fillId="2" borderId="0" xfId="1" applyNumberFormat="1" applyFont="1" applyFill="1" applyBorder="1"/>
    <xf numFmtId="166" fontId="12" fillId="2" borderId="0" xfId="1" applyNumberFormat="1" applyFont="1" applyFill="1" applyBorder="1" applyAlignment="1">
      <alignment horizontal="right"/>
    </xf>
    <xf numFmtId="166" fontId="12" fillId="2" borderId="8" xfId="1" applyNumberFormat="1" applyFont="1" applyFill="1" applyBorder="1"/>
    <xf numFmtId="167" fontId="6" fillId="2" borderId="16" xfId="3" applyNumberFormat="1" applyFont="1" applyFill="1" applyBorder="1"/>
    <xf numFmtId="166" fontId="6" fillId="2" borderId="16" xfId="1" applyNumberFormat="1" applyFont="1" applyFill="1" applyBorder="1"/>
    <xf numFmtId="166" fontId="6" fillId="2" borderId="21" xfId="1" applyNumberFormat="1" applyFont="1" applyFill="1" applyBorder="1"/>
    <xf numFmtId="166" fontId="6" fillId="2" borderId="6" xfId="1" applyNumberFormat="1" applyFont="1" applyFill="1" applyBorder="1"/>
    <xf numFmtId="166" fontId="5" fillId="5" borderId="18" xfId="1" applyNumberFormat="1" applyFont="1" applyFill="1" applyBorder="1"/>
    <xf numFmtId="166" fontId="7" fillId="2" borderId="0" xfId="1" applyNumberFormat="1" applyFont="1" applyFill="1"/>
    <xf numFmtId="166" fontId="7" fillId="2" borderId="0" xfId="1" applyNumberFormat="1" applyFont="1" applyFill="1" applyAlignment="1">
      <alignment horizontal="right"/>
    </xf>
    <xf numFmtId="168" fontId="7" fillId="2" borderId="0" xfId="2" applyNumberFormat="1" applyFont="1" applyFill="1"/>
    <xf numFmtId="169" fontId="0" fillId="0" borderId="0" xfId="0" applyNumberFormat="1"/>
    <xf numFmtId="165" fontId="2" fillId="6" borderId="1" xfId="4" applyNumberFormat="1" applyFont="1" applyFill="1" applyBorder="1" applyAlignment="1">
      <alignment horizontal="center"/>
    </xf>
    <xf numFmtId="169" fontId="10" fillId="6" borderId="1" xfId="4" applyNumberFormat="1" applyFont="1" applyFill="1" applyBorder="1"/>
    <xf numFmtId="9" fontId="10" fillId="6" borderId="1" xfId="4" applyNumberFormat="1" applyFont="1" applyFill="1" applyBorder="1" applyAlignment="1">
      <alignment horizontal="center"/>
    </xf>
    <xf numFmtId="0" fontId="2" fillId="6" borderId="0" xfId="4" applyNumberFormat="1" applyFont="1" applyFill="1" applyBorder="1" applyAlignment="1">
      <alignment horizontal="center"/>
    </xf>
    <xf numFmtId="0" fontId="2" fillId="7" borderId="1" xfId="4" applyNumberFormat="1" applyFont="1" applyFill="1" applyBorder="1" applyAlignment="1">
      <alignment horizontal="right"/>
    </xf>
    <xf numFmtId="0" fontId="0" fillId="7" borderId="0" xfId="0" applyFill="1" applyAlignment="1">
      <alignment horizontal="right"/>
    </xf>
    <xf numFmtId="0" fontId="0" fillId="7" borderId="0" xfId="0" applyFill="1"/>
    <xf numFmtId="165" fontId="2" fillId="7" borderId="1" xfId="4" applyNumberFormat="1" applyFont="1" applyFill="1" applyBorder="1" applyAlignment="1">
      <alignment horizontal="center"/>
    </xf>
    <xf numFmtId="166" fontId="17" fillId="2" borderId="8" xfId="1" applyNumberFormat="1" applyFont="1" applyFill="1" applyBorder="1" applyAlignment="1">
      <alignment horizontal="left" indent="2"/>
    </xf>
    <xf numFmtId="166" fontId="17" fillId="2" borderId="13" xfId="1" applyNumberFormat="1" applyFont="1" applyFill="1" applyBorder="1"/>
    <xf numFmtId="166" fontId="7" fillId="2" borderId="8" xfId="1" applyNumberFormat="1" applyFont="1" applyFill="1" applyBorder="1" applyAlignment="1">
      <alignment horizontal="left"/>
    </xf>
    <xf numFmtId="0" fontId="0" fillId="2" borderId="0" xfId="0" applyFont="1" applyFill="1"/>
    <xf numFmtId="167" fontId="0" fillId="0" borderId="0" xfId="3" applyNumberFormat="1" applyFont="1"/>
    <xf numFmtId="6" fontId="0" fillId="6" borderId="0" xfId="0" applyNumberFormat="1" applyFill="1"/>
    <xf numFmtId="166" fontId="0" fillId="0" borderId="0" xfId="1" applyNumberFormat="1" applyFont="1"/>
    <xf numFmtId="0" fontId="0" fillId="6" borderId="0" xfId="0" applyFill="1"/>
    <xf numFmtId="166" fontId="3" fillId="2" borderId="21" xfId="1" applyNumberFormat="1" applyFont="1" applyFill="1" applyBorder="1" applyAlignment="1">
      <alignment horizontal="center"/>
    </xf>
    <xf numFmtId="9" fontId="0" fillId="0" borderId="0" xfId="0" applyNumberFormat="1"/>
    <xf numFmtId="166" fontId="6" fillId="2" borderId="14" xfId="1" applyNumberFormat="1" applyFont="1" applyFill="1" applyBorder="1"/>
    <xf numFmtId="0" fontId="0" fillId="0" borderId="0" xfId="0" applyNumberFormat="1"/>
    <xf numFmtId="0" fontId="0" fillId="8" borderId="0" xfId="0" applyFill="1"/>
    <xf numFmtId="166" fontId="7" fillId="7" borderId="8" xfId="1" applyNumberFormat="1" applyFont="1" applyFill="1" applyBorder="1"/>
    <xf numFmtId="168" fontId="0" fillId="6" borderId="0" xfId="2" applyNumberFormat="1" applyFont="1" applyFill="1"/>
    <xf numFmtId="167" fontId="0" fillId="6" borderId="0" xfId="3" applyNumberFormat="1" applyFont="1" applyFill="1"/>
    <xf numFmtId="9" fontId="0" fillId="6" borderId="0" xfId="0" applyNumberFormat="1" applyFill="1"/>
    <xf numFmtId="167" fontId="0" fillId="6" borderId="0" xfId="0" applyNumberFormat="1" applyFill="1"/>
    <xf numFmtId="10" fontId="0" fillId="6" borderId="0" xfId="0" applyNumberFormat="1" applyFill="1"/>
    <xf numFmtId="166" fontId="6" fillId="2" borderId="8" xfId="1" applyNumberFormat="1" applyFont="1" applyFill="1" applyBorder="1" applyAlignment="1">
      <alignment horizontal="right"/>
    </xf>
    <xf numFmtId="166" fontId="5" fillId="9" borderId="17" xfId="1" applyNumberFormat="1" applyFont="1" applyFill="1" applyBorder="1"/>
    <xf numFmtId="166" fontId="5" fillId="9" borderId="18" xfId="1" applyNumberFormat="1" applyFont="1" applyFill="1" applyBorder="1"/>
    <xf numFmtId="166" fontId="5" fillId="9" borderId="18" xfId="1" applyNumberFormat="1" applyFont="1" applyFill="1" applyBorder="1" applyAlignment="1">
      <alignment horizontal="right"/>
    </xf>
    <xf numFmtId="166" fontId="5" fillId="9" borderId="23" xfId="1" applyNumberFormat="1" applyFont="1" applyFill="1" applyBorder="1"/>
    <xf numFmtId="166" fontId="5" fillId="9" borderId="3" xfId="1" applyNumberFormat="1" applyFont="1" applyFill="1" applyBorder="1"/>
    <xf numFmtId="166" fontId="5" fillId="9" borderId="4" xfId="1" applyNumberFormat="1" applyFont="1" applyFill="1" applyBorder="1"/>
    <xf numFmtId="0" fontId="18" fillId="2" borderId="0" xfId="0" applyFont="1" applyFill="1"/>
    <xf numFmtId="3" fontId="19" fillId="10" borderId="2" xfId="0" applyNumberFormat="1" applyFont="1" applyFill="1" applyBorder="1" applyAlignment="1">
      <alignment horizontal="center"/>
    </xf>
    <xf numFmtId="3" fontId="19" fillId="10" borderId="3" xfId="0" applyNumberFormat="1" applyFont="1" applyFill="1" applyBorder="1" applyAlignment="1">
      <alignment horizontal="center"/>
    </xf>
    <xf numFmtId="3" fontId="19" fillId="10" borderId="4" xfId="0" applyNumberFormat="1" applyFont="1" applyFill="1" applyBorder="1" applyAlignment="1">
      <alignment horizontal="center"/>
    </xf>
    <xf numFmtId="3" fontId="21" fillId="4" borderId="8" xfId="0" applyNumberFormat="1" applyFont="1" applyFill="1" applyBorder="1" applyAlignment="1">
      <alignment horizontal="center" textRotation="90"/>
    </xf>
    <xf numFmtId="3" fontId="21" fillId="2" borderId="8" xfId="0" applyNumberFormat="1" applyFont="1" applyFill="1" applyBorder="1"/>
    <xf numFmtId="3" fontId="21" fillId="2" borderId="0" xfId="0" applyNumberFormat="1" applyFont="1" applyFill="1"/>
    <xf numFmtId="10" fontId="21" fillId="2" borderId="9" xfId="0" applyNumberFormat="1" applyFont="1" applyFill="1" applyBorder="1"/>
    <xf numFmtId="3" fontId="21" fillId="2" borderId="13" xfId="0" applyNumberFormat="1" applyFont="1" applyFill="1" applyBorder="1"/>
    <xf numFmtId="3" fontId="21" fillId="2" borderId="21" xfId="0" applyNumberFormat="1" applyFont="1" applyFill="1" applyBorder="1"/>
    <xf numFmtId="3" fontId="20" fillId="4" borderId="8" xfId="0" applyNumberFormat="1" applyFont="1" applyFill="1" applyBorder="1" applyAlignment="1">
      <alignment horizontal="center" textRotation="90"/>
    </xf>
    <xf numFmtId="3" fontId="22" fillId="2" borderId="8" xfId="0" applyNumberFormat="1" applyFont="1" applyFill="1" applyBorder="1"/>
    <xf numFmtId="3" fontId="22" fillId="2" borderId="0" xfId="0" applyNumberFormat="1" applyFont="1" applyFill="1"/>
    <xf numFmtId="10" fontId="22" fillId="2" borderId="9" xfId="0" applyNumberFormat="1" applyFont="1" applyFill="1" applyBorder="1"/>
    <xf numFmtId="3" fontId="22" fillId="2" borderId="13" xfId="0" applyNumberFormat="1" applyFont="1" applyFill="1" applyBorder="1"/>
    <xf numFmtId="168" fontId="20" fillId="11" borderId="2" xfId="2" applyNumberFormat="1" applyFont="1" applyFill="1" applyBorder="1"/>
    <xf numFmtId="168" fontId="20" fillId="11" borderId="4" xfId="2" applyNumberFormat="1" applyFont="1" applyFill="1" applyBorder="1"/>
    <xf numFmtId="0" fontId="18" fillId="4" borderId="21" xfId="0" applyFont="1" applyFill="1" applyBorder="1"/>
    <xf numFmtId="3" fontId="21" fillId="2" borderId="5" xfId="0" applyNumberFormat="1" applyFont="1" applyFill="1" applyBorder="1"/>
    <xf numFmtId="3" fontId="21" fillId="2" borderId="6" xfId="0" applyNumberFormat="1" applyFont="1" applyFill="1" applyBorder="1"/>
    <xf numFmtId="10" fontId="21" fillId="2" borderId="7" xfId="0" applyNumberFormat="1" applyFont="1" applyFill="1" applyBorder="1"/>
    <xf numFmtId="3" fontId="20" fillId="4" borderId="13" xfId="0" applyNumberFormat="1" applyFont="1" applyFill="1" applyBorder="1" applyAlignment="1">
      <alignment horizontal="center" textRotation="90"/>
    </xf>
    <xf numFmtId="2" fontId="21" fillId="2" borderId="9" xfId="0" applyNumberFormat="1" applyFont="1" applyFill="1" applyBorder="1" applyAlignment="1">
      <alignment horizontal="center"/>
    </xf>
    <xf numFmtId="168" fontId="20" fillId="11" borderId="25" xfId="2" applyNumberFormat="1" applyFont="1" applyFill="1" applyBorder="1"/>
    <xf numFmtId="168" fontId="20" fillId="5" borderId="29" xfId="2" applyNumberFormat="1" applyFont="1" applyFill="1" applyBorder="1"/>
    <xf numFmtId="3" fontId="22" fillId="2" borderId="0" xfId="0" applyNumberFormat="1" applyFont="1" applyFill="1" applyAlignment="1">
      <alignment horizontal="center"/>
    </xf>
    <xf numFmtId="10" fontId="22" fillId="2" borderId="0" xfId="0" applyNumberFormat="1" applyFont="1" applyFill="1"/>
    <xf numFmtId="1" fontId="22" fillId="2" borderId="0" xfId="0" applyNumberFormat="1" applyFont="1" applyFill="1" applyAlignment="1">
      <alignment horizontal="center"/>
    </xf>
    <xf numFmtId="4" fontId="22" fillId="2" borderId="0" xfId="0" applyNumberFormat="1" applyFont="1" applyFill="1"/>
    <xf numFmtId="10" fontId="22" fillId="8" borderId="17" xfId="0" applyNumberFormat="1" applyFont="1" applyFill="1" applyBorder="1"/>
    <xf numFmtId="3" fontId="22" fillId="2" borderId="18" xfId="0" applyNumberFormat="1" applyFont="1" applyFill="1" applyBorder="1"/>
    <xf numFmtId="0" fontId="18" fillId="0" borderId="0" xfId="0" applyFont="1"/>
    <xf numFmtId="3" fontId="21" fillId="4" borderId="21" xfId="0" applyNumberFormat="1" applyFont="1" applyFill="1" applyBorder="1" applyAlignment="1">
      <alignment horizontal="center" textRotation="90"/>
    </xf>
    <xf numFmtId="3" fontId="22" fillId="2" borderId="6" xfId="0" applyNumberFormat="1" applyFont="1" applyFill="1" applyBorder="1"/>
    <xf numFmtId="10" fontId="22" fillId="2" borderId="6" xfId="0" applyNumberFormat="1" applyFont="1" applyFill="1" applyBorder="1"/>
    <xf numFmtId="10" fontId="22" fillId="2" borderId="7" xfId="0" applyNumberFormat="1" applyFont="1" applyFill="1" applyBorder="1"/>
    <xf numFmtId="3" fontId="22" fillId="2" borderId="5" xfId="0" applyNumberFormat="1" applyFont="1" applyFill="1" applyBorder="1"/>
    <xf numFmtId="3" fontId="22" fillId="2" borderId="21" xfId="0" applyNumberFormat="1" applyFont="1" applyFill="1" applyBorder="1"/>
    <xf numFmtId="10" fontId="21" fillId="2" borderId="0" xfId="0" applyNumberFormat="1" applyFont="1" applyFill="1"/>
    <xf numFmtId="0" fontId="18" fillId="2" borderId="13" xfId="0" applyFont="1" applyFill="1" applyBorder="1"/>
    <xf numFmtId="0" fontId="20" fillId="4" borderId="13" xfId="0" applyFont="1" applyFill="1" applyBorder="1"/>
    <xf numFmtId="3" fontId="21" fillId="2" borderId="11" xfId="0" applyNumberFormat="1" applyFont="1" applyFill="1" applyBorder="1"/>
    <xf numFmtId="10" fontId="21" fillId="2" borderId="11" xfId="0" applyNumberFormat="1" applyFont="1" applyFill="1" applyBorder="1"/>
    <xf numFmtId="10" fontId="21" fillId="2" borderId="12" xfId="0" applyNumberFormat="1" applyFont="1" applyFill="1" applyBorder="1"/>
    <xf numFmtId="3" fontId="21" fillId="2" borderId="10" xfId="0" applyNumberFormat="1" applyFont="1" applyFill="1" applyBorder="1"/>
    <xf numFmtId="3" fontId="21" fillId="2" borderId="16" xfId="0" applyNumberFormat="1" applyFont="1" applyFill="1" applyBorder="1"/>
    <xf numFmtId="1" fontId="19" fillId="4" borderId="17" xfId="0" applyNumberFormat="1" applyFont="1" applyFill="1" applyBorder="1"/>
    <xf numFmtId="1" fontId="20" fillId="4" borderId="18" xfId="0" applyNumberFormat="1" applyFont="1" applyFill="1" applyBorder="1" applyAlignment="1">
      <alignment horizontal="right"/>
    </xf>
    <xf numFmtId="1" fontId="19" fillId="4" borderId="18" xfId="0" applyNumberFormat="1" applyFont="1" applyFill="1" applyBorder="1"/>
    <xf numFmtId="1" fontId="19" fillId="4" borderId="23" xfId="0" applyNumberFormat="1" applyFont="1" applyFill="1" applyBorder="1"/>
    <xf numFmtId="10" fontId="22" fillId="2" borderId="30" xfId="0" applyNumberFormat="1" applyFont="1" applyFill="1" applyBorder="1"/>
    <xf numFmtId="3" fontId="22" fillId="2" borderId="16" xfId="0" applyNumberFormat="1" applyFont="1" applyFill="1" applyBorder="1"/>
    <xf numFmtId="1" fontId="19" fillId="4" borderId="19" xfId="0" applyNumberFormat="1" applyFont="1" applyFill="1" applyBorder="1"/>
    <xf numFmtId="1" fontId="19" fillId="4" borderId="4" xfId="0" applyNumberFormat="1" applyFont="1" applyFill="1" applyBorder="1"/>
    <xf numFmtId="10" fontId="22" fillId="2" borderId="31" xfId="0" applyNumberFormat="1" applyFont="1" applyFill="1" applyBorder="1"/>
    <xf numFmtId="3" fontId="22" fillId="2" borderId="10" xfId="0" applyNumberFormat="1" applyFont="1" applyFill="1" applyBorder="1"/>
    <xf numFmtId="3" fontId="22" fillId="2" borderId="11" xfId="0" applyNumberFormat="1" applyFont="1" applyFill="1" applyBorder="1"/>
    <xf numFmtId="10" fontId="22" fillId="2" borderId="11" xfId="0" applyNumberFormat="1" applyFont="1" applyFill="1" applyBorder="1"/>
    <xf numFmtId="10" fontId="22" fillId="2" borderId="32" xfId="0" applyNumberFormat="1" applyFont="1" applyFill="1" applyBorder="1"/>
    <xf numFmtId="0" fontId="18" fillId="4" borderId="17" xfId="0" applyFont="1" applyFill="1" applyBorder="1"/>
    <xf numFmtId="3" fontId="20" fillId="4" borderId="18" xfId="0" applyNumberFormat="1" applyFont="1" applyFill="1" applyBorder="1" applyAlignment="1">
      <alignment horizontal="right"/>
    </xf>
    <xf numFmtId="3" fontId="22" fillId="4" borderId="18" xfId="0" applyNumberFormat="1" applyFont="1" applyFill="1" applyBorder="1"/>
    <xf numFmtId="3" fontId="22" fillId="4" borderId="23" xfId="0" applyNumberFormat="1" applyFont="1" applyFill="1" applyBorder="1"/>
    <xf numFmtId="170" fontId="20" fillId="4" borderId="19" xfId="0" applyNumberFormat="1" applyFont="1" applyFill="1" applyBorder="1"/>
    <xf numFmtId="170" fontId="20" fillId="4" borderId="4" xfId="0" applyNumberFormat="1" applyFont="1" applyFill="1" applyBorder="1"/>
    <xf numFmtId="168" fontId="20" fillId="11" borderId="18" xfId="2" applyNumberFormat="1" applyFont="1" applyFill="1" applyBorder="1"/>
    <xf numFmtId="168" fontId="20" fillId="11" borderId="19" xfId="2" applyNumberFormat="1" applyFont="1" applyFill="1" applyBorder="1"/>
    <xf numFmtId="3" fontId="21" fillId="4" borderId="21" xfId="0" applyNumberFormat="1" applyFont="1" applyFill="1" applyBorder="1" applyAlignment="1">
      <alignment horizontal="center"/>
    </xf>
    <xf numFmtId="166" fontId="23" fillId="2" borderId="13" xfId="1" applyNumberFormat="1" applyFont="1" applyFill="1" applyBorder="1"/>
    <xf numFmtId="166" fontId="23" fillId="2" borderId="0" xfId="1" applyNumberFormat="1" applyFont="1" applyFill="1"/>
    <xf numFmtId="3" fontId="24" fillId="2" borderId="0" xfId="0" applyNumberFormat="1" applyFont="1" applyFill="1"/>
    <xf numFmtId="3" fontId="21" fillId="4" borderId="13" xfId="0" applyNumberFormat="1" applyFont="1" applyFill="1" applyBorder="1" applyAlignment="1">
      <alignment horizontal="center" textRotation="90"/>
    </xf>
    <xf numFmtId="168" fontId="20" fillId="5" borderId="18" xfId="2" applyNumberFormat="1" applyFont="1" applyFill="1" applyBorder="1"/>
    <xf numFmtId="168" fontId="20" fillId="5" borderId="19" xfId="2" applyNumberFormat="1" applyFont="1" applyFill="1" applyBorder="1"/>
    <xf numFmtId="168" fontId="20" fillId="5" borderId="4" xfId="2" applyNumberFormat="1" applyFont="1" applyFill="1" applyBorder="1"/>
    <xf numFmtId="0" fontId="0" fillId="0" borderId="0" xfId="0" applyAlignment="1">
      <alignment horizontal="right"/>
    </xf>
    <xf numFmtId="169" fontId="0" fillId="0" borderId="0" xfId="0" applyNumberFormat="1" applyFill="1" applyBorder="1"/>
    <xf numFmtId="0" fontId="0" fillId="0" borderId="0" xfId="0" applyNumberFormat="1" applyFill="1" applyBorder="1"/>
    <xf numFmtId="166" fontId="0" fillId="0" borderId="37" xfId="1" applyNumberFormat="1" applyFont="1" applyBorder="1"/>
    <xf numFmtId="166" fontId="0" fillId="0" borderId="38" xfId="1" applyNumberFormat="1" applyFont="1" applyBorder="1"/>
    <xf numFmtId="166" fontId="0" fillId="0" borderId="39" xfId="1" applyNumberFormat="1" applyFont="1" applyBorder="1"/>
    <xf numFmtId="166" fontId="0" fillId="0" borderId="40" xfId="1" applyNumberFormat="1" applyFont="1" applyBorder="1"/>
    <xf numFmtId="168" fontId="16" fillId="13" borderId="3" xfId="2" applyNumberFormat="1" applyFont="1" applyFill="1" applyBorder="1"/>
    <xf numFmtId="168" fontId="16" fillId="13" borderId="4" xfId="2" applyNumberFormat="1" applyFont="1" applyFill="1" applyBorder="1"/>
    <xf numFmtId="166" fontId="16" fillId="0" borderId="37" xfId="1" applyNumberFormat="1" applyFont="1" applyBorder="1"/>
    <xf numFmtId="166" fontId="16" fillId="0" borderId="38" xfId="1" applyNumberFormat="1" applyFont="1" applyBorder="1"/>
    <xf numFmtId="166" fontId="0" fillId="0" borderId="47" xfId="1" applyNumberFormat="1" applyFont="1" applyBorder="1"/>
    <xf numFmtId="166" fontId="0" fillId="0" borderId="48" xfId="1" applyNumberFormat="1" applyFont="1" applyBorder="1"/>
    <xf numFmtId="168" fontId="16" fillId="14" borderId="3" xfId="2" applyNumberFormat="1" applyFont="1" applyFill="1" applyBorder="1"/>
    <xf numFmtId="168" fontId="16" fillId="14" borderId="4" xfId="2" applyNumberFormat="1" applyFont="1" applyFill="1" applyBorder="1"/>
    <xf numFmtId="9" fontId="0" fillId="6" borderId="36" xfId="0" applyNumberFormat="1" applyFill="1" applyBorder="1"/>
    <xf numFmtId="166" fontId="0" fillId="0" borderId="44" xfId="1" applyNumberFormat="1" applyFont="1" applyBorder="1"/>
    <xf numFmtId="0" fontId="0" fillId="8" borderId="49" xfId="0" applyFill="1" applyBorder="1"/>
    <xf numFmtId="0" fontId="16" fillId="8" borderId="50" xfId="0" applyFont="1" applyFill="1" applyBorder="1"/>
    <xf numFmtId="9" fontId="0" fillId="6" borderId="33" xfId="0" applyNumberFormat="1" applyFill="1" applyBorder="1"/>
    <xf numFmtId="0" fontId="0" fillId="7" borderId="35" xfId="0" applyFill="1" applyBorder="1"/>
    <xf numFmtId="0" fontId="0" fillId="7" borderId="38" xfId="0" applyFill="1" applyBorder="1"/>
    <xf numFmtId="9" fontId="0" fillId="2" borderId="51" xfId="0" applyNumberFormat="1" applyFill="1" applyBorder="1"/>
    <xf numFmtId="166" fontId="16" fillId="0" borderId="44" xfId="1" applyNumberFormat="1" applyFont="1" applyBorder="1"/>
    <xf numFmtId="166" fontId="0" fillId="0" borderId="33" xfId="1" applyNumberFormat="1" applyFont="1" applyBorder="1"/>
    <xf numFmtId="166" fontId="0" fillId="0" borderId="34" xfId="1" applyNumberFormat="1" applyFont="1" applyBorder="1"/>
    <xf numFmtId="166" fontId="0" fillId="0" borderId="35" xfId="1" applyNumberFormat="1" applyFont="1" applyBorder="1"/>
    <xf numFmtId="166" fontId="0" fillId="0" borderId="36" xfId="1" applyNumberFormat="1" applyFont="1" applyBorder="1"/>
    <xf numFmtId="166" fontId="0" fillId="0" borderId="51" xfId="1" applyNumberFormat="1" applyFont="1" applyBorder="1"/>
    <xf numFmtId="0" fontId="0" fillId="8" borderId="50" xfId="0" applyFill="1" applyBorder="1"/>
    <xf numFmtId="166" fontId="0" fillId="0" borderId="54" xfId="1" applyNumberFormat="1" applyFont="1" applyBorder="1"/>
    <xf numFmtId="0" fontId="0" fillId="0" borderId="0" xfId="0" applyBorder="1"/>
    <xf numFmtId="166" fontId="0" fillId="0" borderId="55" xfId="1" applyNumberFormat="1" applyFont="1" applyBorder="1"/>
    <xf numFmtId="166" fontId="0" fillId="0" borderId="56" xfId="1" applyNumberFormat="1" applyFont="1" applyBorder="1"/>
    <xf numFmtId="0" fontId="0" fillId="0" borderId="5" xfId="0" applyBorder="1"/>
    <xf numFmtId="0" fontId="0" fillId="0" borderId="7" xfId="0" applyBorder="1" applyAlignment="1">
      <alignment horizontal="right"/>
    </xf>
    <xf numFmtId="0" fontId="0" fillId="0" borderId="8" xfId="0" applyBorder="1"/>
    <xf numFmtId="0" fontId="0" fillId="0" borderId="9" xfId="0" applyBorder="1" applyAlignment="1">
      <alignment horizontal="right"/>
    </xf>
    <xf numFmtId="0" fontId="0" fillId="0" borderId="10" xfId="0" applyBorder="1"/>
    <xf numFmtId="0" fontId="0" fillId="0" borderId="12" xfId="0" applyBorder="1" applyAlignment="1">
      <alignment horizontal="right"/>
    </xf>
    <xf numFmtId="0" fontId="0" fillId="0" borderId="17" xfId="0" applyBorder="1"/>
    <xf numFmtId="0" fontId="0" fillId="0" borderId="23" xfId="0" applyBorder="1"/>
    <xf numFmtId="0" fontId="0" fillId="2" borderId="40" xfId="0" applyFill="1" applyBorder="1"/>
    <xf numFmtId="166" fontId="6" fillId="2" borderId="5" xfId="1" applyNumberFormat="1" applyFont="1" applyFill="1" applyBorder="1"/>
    <xf numFmtId="166" fontId="6" fillId="2" borderId="6" xfId="1" applyNumberFormat="1" applyFont="1" applyFill="1" applyBorder="1" applyAlignment="1">
      <alignment horizontal="right"/>
    </xf>
    <xf numFmtId="166" fontId="6" fillId="2" borderId="7" xfId="1" applyNumberFormat="1" applyFont="1" applyFill="1" applyBorder="1" applyAlignment="1">
      <alignment horizontal="right"/>
    </xf>
    <xf numFmtId="166" fontId="7" fillId="2" borderId="13" xfId="1" applyNumberFormat="1" applyFont="1" applyFill="1" applyBorder="1" applyAlignment="1">
      <alignment horizontal="left"/>
    </xf>
    <xf numFmtId="168" fontId="0" fillId="6" borderId="6" xfId="2" applyNumberFormat="1" applyFont="1" applyFill="1" applyBorder="1"/>
    <xf numFmtId="9" fontId="0" fillId="6" borderId="7" xfId="0" applyNumberFormat="1" applyFill="1" applyBorder="1"/>
    <xf numFmtId="168" fontId="0" fillId="6" borderId="0" xfId="2" applyNumberFormat="1" applyFont="1" applyFill="1" applyBorder="1"/>
    <xf numFmtId="9" fontId="0" fillId="6" borderId="9" xfId="0" applyNumberFormat="1" applyFill="1" applyBorder="1"/>
    <xf numFmtId="168" fontId="0" fillId="6" borderId="11" xfId="2" applyNumberFormat="1" applyFont="1" applyFill="1" applyBorder="1"/>
    <xf numFmtId="9" fontId="0" fillId="6" borderId="12" xfId="0" applyNumberFormat="1" applyFill="1" applyBorder="1"/>
    <xf numFmtId="166" fontId="3" fillId="2" borderId="0" xfId="1" applyNumberFormat="1" applyFont="1" applyFill="1" applyBorder="1" applyAlignment="1">
      <alignment horizontal="center"/>
    </xf>
    <xf numFmtId="166" fontId="10" fillId="2" borderId="0" xfId="1" applyNumberFormat="1" applyFont="1" applyFill="1" applyBorder="1"/>
    <xf numFmtId="0" fontId="18" fillId="2" borderId="8" xfId="0" applyFont="1" applyFill="1" applyBorder="1"/>
    <xf numFmtId="168" fontId="20" fillId="15" borderId="18" xfId="2" applyNumberFormat="1" applyFont="1" applyFill="1" applyBorder="1"/>
    <xf numFmtId="166" fontId="10" fillId="8" borderId="50" xfId="1" applyNumberFormat="1" applyFont="1" applyFill="1" applyBorder="1" applyAlignment="1">
      <alignment horizontal="right"/>
    </xf>
    <xf numFmtId="166" fontId="10" fillId="8" borderId="53" xfId="1" applyNumberFormat="1" applyFont="1" applyFill="1" applyBorder="1" applyAlignment="1">
      <alignment horizontal="right"/>
    </xf>
    <xf numFmtId="166" fontId="10" fillId="7" borderId="57" xfId="1" applyNumberFormat="1" applyFont="1" applyFill="1" applyBorder="1"/>
    <xf numFmtId="166" fontId="10" fillId="2" borderId="41" xfId="1" applyNumberFormat="1" applyFont="1" applyFill="1" applyBorder="1"/>
    <xf numFmtId="166" fontId="10" fillId="2" borderId="42" xfId="1" applyNumberFormat="1" applyFont="1" applyFill="1" applyBorder="1"/>
    <xf numFmtId="166" fontId="10" fillId="7" borderId="58" xfId="1" applyNumberFormat="1" applyFont="1" applyFill="1" applyBorder="1"/>
    <xf numFmtId="166" fontId="10" fillId="2" borderId="44" xfId="1" applyNumberFormat="1" applyFont="1" applyFill="1" applyBorder="1"/>
    <xf numFmtId="166" fontId="10" fillId="2" borderId="37" xfId="1" applyNumberFormat="1" applyFont="1" applyFill="1" applyBorder="1"/>
    <xf numFmtId="166" fontId="10" fillId="2" borderId="38" xfId="1" applyNumberFormat="1" applyFont="1" applyFill="1" applyBorder="1"/>
    <xf numFmtId="166" fontId="10" fillId="7" borderId="59" xfId="1" applyNumberFormat="1" applyFont="1" applyFill="1" applyBorder="1"/>
    <xf numFmtId="166" fontId="10" fillId="2" borderId="45" xfId="1" applyNumberFormat="1" applyFont="1" applyFill="1" applyBorder="1"/>
    <xf numFmtId="166" fontId="10" fillId="2" borderId="46" xfId="1" applyNumberFormat="1" applyFont="1" applyFill="1" applyBorder="1"/>
    <xf numFmtId="166" fontId="25" fillId="14" borderId="17" xfId="1" applyNumberFormat="1" applyFont="1" applyFill="1" applyBorder="1" applyAlignment="1">
      <alignment horizontal="right"/>
    </xf>
    <xf numFmtId="166" fontId="10" fillId="2" borderId="33" xfId="1" applyNumberFormat="1" applyFont="1" applyFill="1" applyBorder="1"/>
    <xf numFmtId="166" fontId="10" fillId="2" borderId="34" xfId="1" applyNumberFormat="1" applyFont="1" applyFill="1" applyBorder="1"/>
    <xf numFmtId="166" fontId="10" fillId="2" borderId="35" xfId="1" applyNumberFormat="1" applyFont="1" applyFill="1" applyBorder="1"/>
    <xf numFmtId="166" fontId="10" fillId="2" borderId="36" xfId="1" applyNumberFormat="1" applyFont="1" applyFill="1" applyBorder="1"/>
    <xf numFmtId="166" fontId="10" fillId="2" borderId="51" xfId="1" applyNumberFormat="1" applyFont="1" applyFill="1" applyBorder="1"/>
    <xf numFmtId="166" fontId="10" fillId="2" borderId="39" xfId="1" applyNumberFormat="1" applyFont="1" applyFill="1" applyBorder="1"/>
    <xf numFmtId="166" fontId="10" fillId="2" borderId="40" xfId="1" applyNumberFormat="1" applyFont="1" applyFill="1" applyBorder="1"/>
    <xf numFmtId="166" fontId="10" fillId="7" borderId="13" xfId="1" applyNumberFormat="1" applyFont="1" applyFill="1" applyBorder="1"/>
    <xf numFmtId="166" fontId="10" fillId="2" borderId="47" xfId="1" applyNumberFormat="1" applyFont="1" applyFill="1" applyBorder="1"/>
    <xf numFmtId="166" fontId="10" fillId="2" borderId="48" xfId="1" applyNumberFormat="1" applyFont="1" applyFill="1" applyBorder="1"/>
    <xf numFmtId="166" fontId="25" fillId="16" borderId="17" xfId="1" applyNumberFormat="1" applyFont="1" applyFill="1" applyBorder="1" applyAlignment="1">
      <alignment horizontal="right"/>
    </xf>
    <xf numFmtId="166" fontId="25" fillId="16" borderId="23" xfId="1" applyNumberFormat="1" applyFont="1" applyFill="1" applyBorder="1"/>
    <xf numFmtId="166" fontId="25" fillId="17" borderId="17" xfId="1" applyNumberFormat="1" applyFont="1" applyFill="1" applyBorder="1"/>
    <xf numFmtId="166" fontId="10" fillId="2" borderId="52" xfId="1" applyNumberFormat="1" applyFont="1" applyFill="1" applyBorder="1"/>
    <xf numFmtId="166" fontId="25" fillId="6" borderId="17" xfId="1" applyNumberFormat="1" applyFont="1" applyFill="1" applyBorder="1" applyAlignment="1">
      <alignment horizontal="right"/>
    </xf>
    <xf numFmtId="166" fontId="0" fillId="0" borderId="0" xfId="0" applyNumberFormat="1"/>
    <xf numFmtId="0" fontId="0" fillId="8" borderId="60" xfId="0" applyFill="1" applyBorder="1" applyAlignment="1">
      <alignment horizontal="right"/>
    </xf>
    <xf numFmtId="9" fontId="0" fillId="6" borderId="61" xfId="0" applyNumberFormat="1" applyFill="1" applyBorder="1"/>
    <xf numFmtId="166" fontId="0" fillId="0" borderId="37" xfId="1" applyNumberFormat="1" applyFont="1" applyBorder="1" applyAlignment="1">
      <alignment horizontal="right"/>
    </xf>
    <xf numFmtId="0" fontId="0" fillId="7" borderId="58" xfId="0" applyFill="1" applyBorder="1"/>
    <xf numFmtId="166" fontId="0" fillId="0" borderId="0" xfId="1" applyNumberFormat="1" applyFont="1" applyBorder="1"/>
    <xf numFmtId="0" fontId="0" fillId="7" borderId="59" xfId="0" applyFill="1" applyBorder="1"/>
    <xf numFmtId="0" fontId="0" fillId="7" borderId="57" xfId="0" applyFill="1" applyBorder="1"/>
    <xf numFmtId="0" fontId="0" fillId="14" borderId="22" xfId="0" applyFill="1" applyBorder="1"/>
    <xf numFmtId="0" fontId="0" fillId="14" borderId="58" xfId="0" applyFill="1" applyBorder="1"/>
    <xf numFmtId="0" fontId="15" fillId="12" borderId="58" xfId="0" applyFont="1" applyFill="1" applyBorder="1"/>
    <xf numFmtId="0" fontId="0" fillId="18" borderId="61" xfId="0" applyFill="1" applyBorder="1"/>
    <xf numFmtId="166" fontId="0" fillId="0" borderId="58" xfId="1" applyNumberFormat="1" applyFont="1" applyBorder="1" applyAlignment="1">
      <alignment horizontal="right"/>
    </xf>
    <xf numFmtId="166" fontId="0" fillId="0" borderId="59" xfId="1" applyNumberFormat="1" applyFont="1" applyBorder="1" applyAlignment="1">
      <alignment horizontal="right"/>
    </xf>
    <xf numFmtId="166" fontId="0" fillId="14" borderId="22" xfId="1" applyNumberFormat="1" applyFont="1" applyFill="1" applyBorder="1" applyAlignment="1">
      <alignment horizontal="right"/>
    </xf>
    <xf numFmtId="166" fontId="0" fillId="0" borderId="57" xfId="1" applyNumberFormat="1" applyFont="1" applyBorder="1" applyAlignment="1">
      <alignment horizontal="right"/>
    </xf>
    <xf numFmtId="166" fontId="0" fillId="14" borderId="58" xfId="1" applyNumberFormat="1" applyFont="1" applyFill="1" applyBorder="1" applyAlignment="1">
      <alignment horizontal="right"/>
    </xf>
    <xf numFmtId="166" fontId="15" fillId="12" borderId="58" xfId="1" applyNumberFormat="1" applyFont="1" applyFill="1" applyBorder="1" applyAlignment="1">
      <alignment horizontal="right"/>
    </xf>
    <xf numFmtId="10" fontId="0" fillId="18" borderId="61" xfId="3" applyNumberFormat="1" applyFont="1" applyFill="1" applyBorder="1" applyAlignment="1">
      <alignment horizontal="right"/>
    </xf>
    <xf numFmtId="0" fontId="0" fillId="7" borderId="43" xfId="0" applyFill="1" applyBorder="1"/>
    <xf numFmtId="0" fontId="0" fillId="7" borderId="60" xfId="0" applyFill="1" applyBorder="1"/>
    <xf numFmtId="166" fontId="0" fillId="0" borderId="39" xfId="1" applyNumberFormat="1" applyFont="1" applyBorder="1" applyAlignment="1">
      <alignment horizontal="right"/>
    </xf>
    <xf numFmtId="0" fontId="0" fillId="7" borderId="62" xfId="0" applyFill="1" applyBorder="1"/>
    <xf numFmtId="0" fontId="0" fillId="8" borderId="2" xfId="0" applyFill="1" applyBorder="1"/>
    <xf numFmtId="0" fontId="0" fillId="8" borderId="3" xfId="0" applyFill="1" applyBorder="1"/>
    <xf numFmtId="0" fontId="0" fillId="8" borderId="4" xfId="0" applyFill="1" applyBorder="1"/>
    <xf numFmtId="166" fontId="0" fillId="0" borderId="64" xfId="1" applyNumberFormat="1" applyFont="1" applyBorder="1"/>
    <xf numFmtId="0" fontId="0" fillId="8" borderId="21" xfId="0" applyFill="1" applyBorder="1"/>
    <xf numFmtId="166" fontId="0" fillId="0" borderId="16" xfId="1" applyNumberFormat="1" applyFont="1" applyBorder="1"/>
    <xf numFmtId="0" fontId="0" fillId="7" borderId="41" xfId="0" applyFill="1" applyBorder="1"/>
    <xf numFmtId="0" fontId="0" fillId="7" borderId="63" xfId="0" applyFill="1" applyBorder="1"/>
    <xf numFmtId="166" fontId="5" fillId="5" borderId="3" xfId="1" applyNumberFormat="1" applyFont="1" applyFill="1" applyBorder="1"/>
    <xf numFmtId="166" fontId="5" fillId="5" borderId="19" xfId="1" applyNumberFormat="1" applyFont="1" applyFill="1" applyBorder="1"/>
    <xf numFmtId="166" fontId="5" fillId="5" borderId="4" xfId="1" applyNumberFormat="1" applyFont="1" applyFill="1" applyBorder="1"/>
    <xf numFmtId="43" fontId="0" fillId="0" borderId="0" xfId="1" applyFont="1"/>
    <xf numFmtId="0" fontId="0" fillId="0" borderId="0" xfId="0" quotePrefix="1"/>
    <xf numFmtId="166" fontId="0" fillId="0" borderId="0" xfId="1" applyNumberFormat="1" applyFont="1" applyAlignment="1">
      <alignment horizontal="right"/>
    </xf>
    <xf numFmtId="166" fontId="0" fillId="0" borderId="0" xfId="0" applyNumberFormat="1" applyAlignment="1">
      <alignment horizontal="right"/>
    </xf>
    <xf numFmtId="0" fontId="0" fillId="0" borderId="0" xfId="0" applyAlignment="1"/>
    <xf numFmtId="0" fontId="0" fillId="0" borderId="9" xfId="0" applyBorder="1"/>
    <xf numFmtId="171" fontId="0" fillId="0" borderId="0" xfId="3" applyNumberFormat="1" applyFont="1" applyBorder="1"/>
    <xf numFmtId="17" fontId="0" fillId="0" borderId="0" xfId="0" applyNumberFormat="1"/>
    <xf numFmtId="44" fontId="0" fillId="0" borderId="0" xfId="2" applyFont="1" applyBorder="1"/>
    <xf numFmtId="0" fontId="0" fillId="0" borderId="11" xfId="0" applyBorder="1"/>
    <xf numFmtId="0" fontId="0" fillId="0" borderId="12" xfId="0" applyBorder="1"/>
    <xf numFmtId="17" fontId="0" fillId="0" borderId="8" xfId="0" applyNumberFormat="1" applyBorder="1"/>
    <xf numFmtId="44" fontId="0" fillId="0" borderId="9" xfId="2" applyFont="1" applyBorder="1"/>
    <xf numFmtId="17" fontId="0" fillId="0" borderId="10" xfId="0" applyNumberFormat="1" applyBorder="1"/>
    <xf numFmtId="44" fontId="0" fillId="0" borderId="11" xfId="2" applyFont="1" applyBorder="1"/>
    <xf numFmtId="44" fontId="0" fillId="0" borderId="12" xfId="2" applyFont="1" applyBorder="1"/>
    <xf numFmtId="167" fontId="10" fillId="2" borderId="16" xfId="3" applyNumberFormat="1" applyFont="1" applyFill="1" applyBorder="1"/>
    <xf numFmtId="0" fontId="27" fillId="2" borderId="0" xfId="0" applyFont="1" applyFill="1"/>
    <xf numFmtId="0" fontId="0" fillId="19" borderId="0" xfId="0" applyFill="1"/>
    <xf numFmtId="169" fontId="0" fillId="19" borderId="0" xfId="0" applyNumberFormat="1" applyFill="1"/>
    <xf numFmtId="9" fontId="0" fillId="0" borderId="0" xfId="0" applyNumberFormat="1" applyBorder="1"/>
    <xf numFmtId="166" fontId="0" fillId="2" borderId="0" xfId="1" applyNumberFormat="1" applyFont="1" applyFill="1"/>
    <xf numFmtId="166" fontId="25" fillId="13" borderId="2" xfId="1" applyNumberFormat="1" applyFont="1" applyFill="1" applyBorder="1" applyAlignment="1">
      <alignment horizontal="right"/>
    </xf>
    <xf numFmtId="166" fontId="25" fillId="13" borderId="3" xfId="1" applyNumberFormat="1" applyFont="1" applyFill="1" applyBorder="1"/>
    <xf numFmtId="166" fontId="25" fillId="14" borderId="3" xfId="1" applyNumberFormat="1" applyFont="1" applyFill="1" applyBorder="1"/>
    <xf numFmtId="166" fontId="25" fillId="6" borderId="3" xfId="1" applyNumberFormat="1" applyFont="1" applyFill="1" applyBorder="1"/>
    <xf numFmtId="166" fontId="25" fillId="16" borderId="25" xfId="1" applyNumberFormat="1" applyFont="1" applyFill="1" applyBorder="1"/>
    <xf numFmtId="166" fontId="25" fillId="17" borderId="3" xfId="1" applyNumberFormat="1" applyFont="1" applyFill="1" applyBorder="1"/>
    <xf numFmtId="166" fontId="25" fillId="13" borderId="4" xfId="1" applyNumberFormat="1" applyFont="1" applyFill="1" applyBorder="1"/>
    <xf numFmtId="166" fontId="25" fillId="14" borderId="4" xfId="1" applyNumberFormat="1" applyFont="1" applyFill="1" applyBorder="1"/>
    <xf numFmtId="166" fontId="25" fillId="6" borderId="4" xfId="1" applyNumberFormat="1" applyFont="1" applyFill="1" applyBorder="1"/>
    <xf numFmtId="166" fontId="25" fillId="17" borderId="4" xfId="1" applyNumberFormat="1" applyFont="1" applyFill="1" applyBorder="1"/>
    <xf numFmtId="166" fontId="10" fillId="8" borderId="49" xfId="1" applyNumberFormat="1" applyFont="1" applyFill="1" applyBorder="1" applyAlignment="1">
      <alignment horizontal="center"/>
    </xf>
    <xf numFmtId="168" fontId="20" fillId="15" borderId="19" xfId="2" applyNumberFormat="1" applyFont="1" applyFill="1" applyBorder="1"/>
    <xf numFmtId="0" fontId="18" fillId="2" borderId="22" xfId="0" applyFont="1" applyFill="1" applyBorder="1"/>
    <xf numFmtId="0" fontId="0" fillId="8" borderId="65" xfId="0" applyFill="1" applyBorder="1" applyAlignment="1">
      <alignment horizontal="right"/>
    </xf>
    <xf numFmtId="10" fontId="0" fillId="6" borderId="66" xfId="3" applyNumberFormat="1" applyFont="1" applyFill="1" applyBorder="1"/>
    <xf numFmtId="0" fontId="0" fillId="0" borderId="0" xfId="0" applyAlignment="1">
      <alignment horizontal="center"/>
    </xf>
    <xf numFmtId="0" fontId="0" fillId="7" borderId="0" xfId="0" applyFill="1" applyAlignment="1">
      <alignment horizontal="right"/>
    </xf>
    <xf numFmtId="0" fontId="0" fillId="0" borderId="24" xfId="0" applyBorder="1" applyAlignment="1">
      <alignment horizontal="right"/>
    </xf>
    <xf numFmtId="0" fontId="0" fillId="8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6" borderId="50" xfId="0" applyFill="1" applyBorder="1" applyAlignment="1">
      <alignment horizontal="center" vertical="center"/>
    </xf>
    <xf numFmtId="0" fontId="0" fillId="6" borderId="47" xfId="0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166" fontId="5" fillId="4" borderId="17" xfId="1" quotePrefix="1" applyNumberFormat="1" applyFont="1" applyFill="1" applyBorder="1" applyAlignment="1">
      <alignment horizontal="right"/>
    </xf>
    <xf numFmtId="166" fontId="5" fillId="4" borderId="18" xfId="1" quotePrefix="1" applyNumberFormat="1" applyFont="1" applyFill="1" applyBorder="1" applyAlignment="1">
      <alignment horizontal="right"/>
    </xf>
    <xf numFmtId="166" fontId="5" fillId="5" borderId="17" xfId="1" applyNumberFormat="1" applyFont="1" applyFill="1" applyBorder="1" applyAlignment="1">
      <alignment horizontal="right"/>
    </xf>
    <xf numFmtId="166" fontId="5" fillId="5" borderId="18" xfId="1" applyNumberFormat="1" applyFont="1" applyFill="1" applyBorder="1" applyAlignment="1">
      <alignment horizontal="right"/>
    </xf>
    <xf numFmtId="166" fontId="5" fillId="5" borderId="25" xfId="1" applyNumberFormat="1" applyFont="1" applyFill="1" applyBorder="1" applyAlignment="1">
      <alignment horizontal="right"/>
    </xf>
    <xf numFmtId="166" fontId="4" fillId="4" borderId="5" xfId="1" applyNumberFormat="1" applyFont="1" applyFill="1" applyBorder="1" applyAlignment="1">
      <alignment horizontal="center" vertical="center"/>
    </xf>
    <xf numFmtId="166" fontId="4" fillId="4" borderId="6" xfId="1" applyNumberFormat="1" applyFont="1" applyFill="1" applyBorder="1" applyAlignment="1">
      <alignment horizontal="center" vertical="center"/>
    </xf>
    <xf numFmtId="166" fontId="4" fillId="4" borderId="8" xfId="1" applyNumberFormat="1" applyFont="1" applyFill="1" applyBorder="1" applyAlignment="1">
      <alignment horizontal="center" vertical="center"/>
    </xf>
    <xf numFmtId="166" fontId="4" fillId="4" borderId="0" xfId="1" applyNumberFormat="1" applyFont="1" applyFill="1" applyBorder="1" applyAlignment="1">
      <alignment horizontal="center" vertical="center"/>
    </xf>
    <xf numFmtId="166" fontId="4" fillId="4" borderId="10" xfId="1" applyNumberFormat="1" applyFont="1" applyFill="1" applyBorder="1" applyAlignment="1">
      <alignment horizontal="center" vertical="center"/>
    </xf>
    <xf numFmtId="166" fontId="4" fillId="4" borderId="11" xfId="1" applyNumberFormat="1" applyFont="1" applyFill="1" applyBorder="1" applyAlignment="1">
      <alignment horizontal="center" vertical="center"/>
    </xf>
    <xf numFmtId="1" fontId="20" fillId="11" borderId="17" xfId="0" applyNumberFormat="1" applyFont="1" applyFill="1" applyBorder="1" applyAlignment="1">
      <alignment horizontal="center"/>
    </xf>
    <xf numFmtId="1" fontId="20" fillId="11" borderId="18" xfId="0" applyNumberFormat="1" applyFont="1" applyFill="1" applyBorder="1" applyAlignment="1">
      <alignment horizontal="center"/>
    </xf>
    <xf numFmtId="1" fontId="20" fillId="11" borderId="23" xfId="0" applyNumberFormat="1" applyFont="1" applyFill="1" applyBorder="1" applyAlignment="1">
      <alignment horizontal="center"/>
    </xf>
    <xf numFmtId="3" fontId="20" fillId="5" borderId="17" xfId="0" applyNumberFormat="1" applyFont="1" applyFill="1" applyBorder="1" applyAlignment="1">
      <alignment horizontal="center"/>
    </xf>
    <xf numFmtId="3" fontId="20" fillId="5" borderId="18" xfId="0" applyNumberFormat="1" applyFont="1" applyFill="1" applyBorder="1" applyAlignment="1">
      <alignment horizontal="center"/>
    </xf>
    <xf numFmtId="3" fontId="20" fillId="5" borderId="23" xfId="0" applyNumberFormat="1" applyFont="1" applyFill="1" applyBorder="1" applyAlignment="1">
      <alignment horizontal="center"/>
    </xf>
    <xf numFmtId="3" fontId="20" fillId="15" borderId="17" xfId="0" applyNumberFormat="1" applyFont="1" applyFill="1" applyBorder="1" applyAlignment="1">
      <alignment horizontal="center"/>
    </xf>
    <xf numFmtId="3" fontId="20" fillId="15" borderId="18" xfId="0" applyNumberFormat="1" applyFont="1" applyFill="1" applyBorder="1" applyAlignment="1">
      <alignment horizontal="center"/>
    </xf>
    <xf numFmtId="3" fontId="20" fillId="15" borderId="23" xfId="0" applyNumberFormat="1" applyFont="1" applyFill="1" applyBorder="1" applyAlignment="1">
      <alignment horizontal="center"/>
    </xf>
    <xf numFmtId="0" fontId="19" fillId="4" borderId="17" xfId="0" applyFont="1" applyFill="1" applyBorder="1" applyAlignment="1">
      <alignment horizontal="center"/>
    </xf>
    <xf numFmtId="0" fontId="19" fillId="4" borderId="18" xfId="0" applyFont="1" applyFill="1" applyBorder="1" applyAlignment="1">
      <alignment horizontal="center"/>
    </xf>
    <xf numFmtId="0" fontId="20" fillId="11" borderId="17" xfId="0" applyFont="1" applyFill="1" applyBorder="1" applyAlignment="1">
      <alignment horizontal="center"/>
    </xf>
    <xf numFmtId="0" fontId="20" fillId="11" borderId="18" xfId="0" applyFont="1" applyFill="1" applyBorder="1" applyAlignment="1">
      <alignment horizontal="center"/>
    </xf>
    <xf numFmtId="1" fontId="20" fillId="11" borderId="2" xfId="0" applyNumberFormat="1" applyFont="1" applyFill="1" applyBorder="1" applyAlignment="1">
      <alignment horizontal="center"/>
    </xf>
    <xf numFmtId="1" fontId="20" fillId="11" borderId="3" xfId="0" applyNumberFormat="1" applyFont="1" applyFill="1" applyBorder="1" applyAlignment="1">
      <alignment horizontal="center"/>
    </xf>
    <xf numFmtId="1" fontId="20" fillId="11" borderId="4" xfId="0" applyNumberFormat="1" applyFont="1" applyFill="1" applyBorder="1" applyAlignment="1">
      <alignment horizontal="center"/>
    </xf>
    <xf numFmtId="10" fontId="20" fillId="5" borderId="26" xfId="0" applyNumberFormat="1" applyFont="1" applyFill="1" applyBorder="1" applyAlignment="1">
      <alignment horizontal="center"/>
    </xf>
    <xf numFmtId="10" fontId="20" fillId="5" borderId="27" xfId="0" applyNumberFormat="1" applyFont="1" applyFill="1" applyBorder="1" applyAlignment="1">
      <alignment horizontal="center"/>
    </xf>
    <xf numFmtId="10" fontId="20" fillId="5" borderId="28" xfId="0" applyNumberFormat="1" applyFont="1" applyFill="1" applyBorder="1" applyAlignment="1">
      <alignment horizontal="center"/>
    </xf>
    <xf numFmtId="3" fontId="20" fillId="5" borderId="8" xfId="0" applyNumberFormat="1" applyFont="1" applyFill="1" applyBorder="1" applyAlignment="1">
      <alignment horizontal="center"/>
    </xf>
    <xf numFmtId="3" fontId="20" fillId="5" borderId="0" xfId="0" applyNumberFormat="1" applyFont="1" applyFill="1" applyBorder="1" applyAlignment="1">
      <alignment horizontal="center"/>
    </xf>
    <xf numFmtId="3" fontId="20" fillId="5" borderId="5" xfId="0" applyNumberFormat="1" applyFont="1" applyFill="1" applyBorder="1" applyAlignment="1">
      <alignment horizontal="center"/>
    </xf>
    <xf numFmtId="3" fontId="20" fillId="5" borderId="6" xfId="0" applyNumberFormat="1" applyFont="1" applyFill="1" applyBorder="1" applyAlignment="1">
      <alignment horizontal="center"/>
    </xf>
    <xf numFmtId="0" fontId="16" fillId="13" borderId="49" xfId="0" applyFont="1" applyFill="1" applyBorder="1" applyAlignment="1">
      <alignment horizontal="right"/>
    </xf>
    <xf numFmtId="0" fontId="16" fillId="13" borderId="50" xfId="0" applyFont="1" applyFill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16" fillId="13" borderId="8" xfId="0" applyFont="1" applyFill="1" applyBorder="1" applyAlignment="1">
      <alignment horizontal="right"/>
    </xf>
    <xf numFmtId="0" fontId="16" fillId="13" borderId="54" xfId="0" applyFont="1" applyFill="1" applyBorder="1" applyAlignment="1">
      <alignment horizontal="right"/>
    </xf>
    <xf numFmtId="0" fontId="16" fillId="14" borderId="26" xfId="0" applyFont="1" applyFill="1" applyBorder="1" applyAlignment="1">
      <alignment horizontal="right"/>
    </xf>
    <xf numFmtId="0" fontId="16" fillId="14" borderId="27" xfId="0" applyFont="1" applyFill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166" fontId="3" fillId="2" borderId="8" xfId="1" applyNumberFormat="1" applyFont="1" applyFill="1" applyBorder="1"/>
    <xf numFmtId="166" fontId="3" fillId="2" borderId="0" xfId="1" applyNumberFormat="1" applyFont="1" applyFill="1" applyBorder="1"/>
    <xf numFmtId="166" fontId="3" fillId="2" borderId="0" xfId="1" applyNumberFormat="1" applyFont="1" applyFill="1" applyBorder="1" applyAlignment="1">
      <alignment horizontal="right"/>
    </xf>
    <xf numFmtId="167" fontId="7" fillId="2" borderId="11" xfId="3" applyNumberFormat="1" applyFont="1" applyFill="1" applyBorder="1"/>
    <xf numFmtId="167" fontId="7" fillId="2" borderId="12" xfId="3" applyNumberFormat="1" applyFont="1" applyFill="1" applyBorder="1"/>
    <xf numFmtId="0" fontId="3" fillId="3" borderId="49" xfId="1" applyNumberFormat="1" applyFont="1" applyFill="1" applyBorder="1" applyAlignment="1">
      <alignment horizontal="center"/>
    </xf>
    <xf numFmtId="0" fontId="3" fillId="3" borderId="50" xfId="1" applyNumberFormat="1" applyFont="1" applyFill="1" applyBorder="1" applyAlignment="1">
      <alignment horizontal="center"/>
    </xf>
    <xf numFmtId="0" fontId="3" fillId="3" borderId="53" xfId="1" applyNumberFormat="1" applyFont="1" applyFill="1" applyBorder="1" applyAlignment="1">
      <alignment horizontal="center"/>
    </xf>
    <xf numFmtId="0" fontId="3" fillId="3" borderId="26" xfId="1" applyNumberFormat="1" applyFont="1" applyFill="1" applyBorder="1" applyAlignment="1">
      <alignment horizontal="center"/>
    </xf>
    <xf numFmtId="0" fontId="3" fillId="3" borderId="27" xfId="1" applyNumberFormat="1" applyFont="1" applyFill="1" applyBorder="1" applyAlignment="1">
      <alignment horizontal="center"/>
    </xf>
    <xf numFmtId="0" fontId="3" fillId="3" borderId="28" xfId="1" applyNumberFormat="1" applyFont="1" applyFill="1" applyBorder="1" applyAlignment="1">
      <alignment horizontal="center"/>
    </xf>
    <xf numFmtId="166" fontId="1" fillId="4" borderId="5" xfId="1" applyNumberFormat="1" applyFont="1" applyFill="1" applyBorder="1"/>
    <xf numFmtId="166" fontId="1" fillId="4" borderId="6" xfId="1" applyNumberFormat="1" applyFont="1" applyFill="1" applyBorder="1"/>
    <xf numFmtId="166" fontId="1" fillId="4" borderId="7" xfId="1" applyNumberFormat="1" applyFont="1" applyFill="1" applyBorder="1"/>
  </cellXfs>
  <cellStyles count="5">
    <cellStyle name="Milliers" xfId="1" builtinId="3"/>
    <cellStyle name="Milliers 2" xfId="4" xr:uid="{ABC4498E-24FB-4B3B-AA9B-355A4889EAAD}"/>
    <cellStyle name="Monétaire" xfId="2" builtinId="4"/>
    <cellStyle name="Normal" xfId="0" builtinId="0"/>
    <cellStyle name="Pourcentage" xfId="3" builtinId="5"/>
  </cellStyles>
  <dxfs count="33">
    <dxf>
      <font>
        <color theme="7"/>
      </font>
    </dxf>
    <dxf>
      <font>
        <color rgb="FFC00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00B050"/>
      </font>
    </dxf>
    <dxf>
      <font>
        <color rgb="FFFFC000"/>
      </font>
    </dxf>
    <dxf>
      <font>
        <color rgb="FFC00000"/>
      </font>
    </dxf>
    <dxf>
      <font>
        <color rgb="FFFFC000"/>
      </font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C00000"/>
      </font>
    </dxf>
    <dxf>
      <font>
        <color rgb="FFFFC000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566735</xdr:colOff>
      <xdr:row>15</xdr:row>
      <xdr:rowOff>161924</xdr:rowOff>
    </xdr:from>
    <xdr:to>
      <xdr:col>11</xdr:col>
      <xdr:colOff>269640</xdr:colOff>
      <xdr:row>28</xdr:row>
      <xdr:rowOff>94278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15E65E9-858D-4D53-945C-4962A3B8EF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00823" y="2914649"/>
          <a:ext cx="4284430" cy="22850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1"/>
  <sheetViews>
    <sheetView showGridLines="0" workbookViewId="0">
      <selection activeCell="E8" sqref="E8"/>
    </sheetView>
  </sheetViews>
  <sheetFormatPr baseColWidth="10" defaultColWidth="9.06640625" defaultRowHeight="14.25" x14ac:dyDescent="0.45"/>
  <cols>
    <col min="3" max="3" width="26.9296875" bestFit="1" customWidth="1"/>
    <col min="4" max="4" width="17.19921875" bestFit="1" customWidth="1"/>
    <col min="5" max="5" width="9.796875" bestFit="1" customWidth="1"/>
    <col min="6" max="6" width="20.9296875" bestFit="1" customWidth="1"/>
    <col min="7" max="7" width="14.265625" bestFit="1" customWidth="1"/>
    <col min="8" max="11" width="10.19921875" bestFit="1" customWidth="1"/>
  </cols>
  <sheetData>
    <row r="1" spans="1:27" x14ac:dyDescent="0.45">
      <c r="G1" s="74">
        <v>44561</v>
      </c>
      <c r="H1" s="74">
        <v>44926</v>
      </c>
      <c r="I1" s="74">
        <v>45291</v>
      </c>
      <c r="J1" s="74">
        <v>45657</v>
      </c>
      <c r="K1" s="74">
        <v>46022</v>
      </c>
      <c r="L1" s="74">
        <v>46387</v>
      </c>
      <c r="M1" s="74">
        <v>46752</v>
      </c>
      <c r="N1" s="74">
        <v>47118</v>
      </c>
      <c r="O1" s="74">
        <v>47483</v>
      </c>
      <c r="P1" s="74">
        <v>47848</v>
      </c>
    </row>
    <row r="2" spans="1:27" x14ac:dyDescent="0.45">
      <c r="D2" s="333" t="s">
        <v>36</v>
      </c>
      <c r="E2" s="333"/>
      <c r="F2" s="333"/>
      <c r="G2" s="70">
        <v>1</v>
      </c>
      <c r="H2" s="70">
        <f>1.03</f>
        <v>1.03</v>
      </c>
      <c r="I2" s="70">
        <v>1.06</v>
      </c>
      <c r="J2" s="70">
        <v>1.0900000000000001</v>
      </c>
      <c r="K2" s="70">
        <v>1.1200000000000001</v>
      </c>
      <c r="L2" s="70">
        <v>1.1499999999999999</v>
      </c>
      <c r="M2" s="70">
        <v>1.17</v>
      </c>
      <c r="N2" s="70">
        <v>1.19</v>
      </c>
      <c r="O2" s="70">
        <v>1.2</v>
      </c>
      <c r="P2" s="70">
        <v>1.21</v>
      </c>
    </row>
    <row r="3" spans="1:27" x14ac:dyDescent="0.45">
      <c r="G3" s="332" t="s">
        <v>180</v>
      </c>
      <c r="H3" s="332"/>
      <c r="I3" s="332"/>
      <c r="J3" s="332"/>
      <c r="K3" s="332"/>
      <c r="R3" s="299" t="s">
        <v>181</v>
      </c>
      <c r="S3" s="299"/>
      <c r="T3" s="299"/>
      <c r="U3" s="299"/>
      <c r="V3" s="299"/>
    </row>
    <row r="4" spans="1:27" x14ac:dyDescent="0.45">
      <c r="C4" s="72" t="s">
        <v>9</v>
      </c>
      <c r="D4" s="73" t="s">
        <v>8</v>
      </c>
      <c r="E4" s="73" t="s">
        <v>35</v>
      </c>
      <c r="F4" s="73" t="s">
        <v>275</v>
      </c>
      <c r="G4">
        <v>2021</v>
      </c>
      <c r="H4">
        <v>2022</v>
      </c>
      <c r="I4">
        <v>2023</v>
      </c>
      <c r="J4">
        <v>2024</v>
      </c>
      <c r="K4">
        <v>2025</v>
      </c>
      <c r="L4">
        <v>2026</v>
      </c>
      <c r="M4">
        <v>2027</v>
      </c>
      <c r="N4">
        <v>2028</v>
      </c>
      <c r="O4">
        <v>2029</v>
      </c>
      <c r="P4">
        <v>2030</v>
      </c>
      <c r="R4">
        <f t="shared" ref="R4:AA4" si="0">G4</f>
        <v>2021</v>
      </c>
      <c r="S4">
        <f t="shared" si="0"/>
        <v>2022</v>
      </c>
      <c r="T4">
        <f t="shared" si="0"/>
        <v>2023</v>
      </c>
      <c r="U4">
        <f t="shared" si="0"/>
        <v>2024</v>
      </c>
      <c r="V4">
        <f t="shared" si="0"/>
        <v>2025</v>
      </c>
      <c r="W4">
        <f t="shared" si="0"/>
        <v>2026</v>
      </c>
      <c r="X4">
        <f t="shared" si="0"/>
        <v>2027</v>
      </c>
      <c r="Y4">
        <f t="shared" si="0"/>
        <v>2028</v>
      </c>
      <c r="Z4">
        <f t="shared" si="0"/>
        <v>2029</v>
      </c>
      <c r="AA4">
        <f t="shared" si="0"/>
        <v>2030</v>
      </c>
    </row>
    <row r="5" spans="1:27" x14ac:dyDescent="0.45">
      <c r="C5" s="71" t="s">
        <v>37</v>
      </c>
      <c r="D5" s="67">
        <v>44287</v>
      </c>
      <c r="E5" s="68">
        <v>4300</v>
      </c>
      <c r="F5" s="69">
        <v>0.17</v>
      </c>
      <c r="G5" s="66">
        <f>IFERROR(IF(DATEDIF($D5,G$1,"M")&gt;12,12,DATEDIF($D5,G$1,"M")),0)*$E5*G$2</f>
        <v>34400</v>
      </c>
      <c r="H5" s="66">
        <f t="shared" ref="H5:P20" si="1">IFERROR(IF(DATEDIF($D5,H$1,"M")&gt;12,12,DATEDIF($D5,H$1,"M")),0)*$E5*H$2</f>
        <v>53148</v>
      </c>
      <c r="I5" s="66">
        <f t="shared" si="1"/>
        <v>54696</v>
      </c>
      <c r="J5" s="314">
        <f t="shared" si="1"/>
        <v>56244.000000000007</v>
      </c>
      <c r="K5" s="66">
        <f t="shared" si="1"/>
        <v>57792.000000000007</v>
      </c>
      <c r="L5" s="66">
        <f t="shared" si="1"/>
        <v>59339.999999999993</v>
      </c>
      <c r="M5" s="66">
        <f t="shared" si="1"/>
        <v>60371.999999999993</v>
      </c>
      <c r="N5" s="66">
        <f t="shared" si="1"/>
        <v>61404</v>
      </c>
      <c r="O5" s="66">
        <f t="shared" si="1"/>
        <v>61920</v>
      </c>
      <c r="P5" s="66">
        <f t="shared" si="1"/>
        <v>62436</v>
      </c>
      <c r="R5" s="177">
        <f>IF($F5=40%,G5,0)</f>
        <v>0</v>
      </c>
      <c r="S5" s="177">
        <f t="shared" ref="S5:AA20" si="2">IF($F5=40%,H5,0)</f>
        <v>0</v>
      </c>
      <c r="T5" s="177">
        <f t="shared" si="2"/>
        <v>0</v>
      </c>
      <c r="U5" s="177">
        <f t="shared" si="2"/>
        <v>0</v>
      </c>
      <c r="V5" s="177">
        <f t="shared" si="2"/>
        <v>0</v>
      </c>
      <c r="W5" s="177">
        <f t="shared" si="2"/>
        <v>0</v>
      </c>
      <c r="X5" s="177">
        <f t="shared" si="2"/>
        <v>0</v>
      </c>
      <c r="Y5" s="177">
        <f t="shared" si="2"/>
        <v>0</v>
      </c>
      <c r="Z5" s="177">
        <f t="shared" si="2"/>
        <v>0</v>
      </c>
      <c r="AA5" s="177">
        <f t="shared" si="2"/>
        <v>0</v>
      </c>
    </row>
    <row r="6" spans="1:27" x14ac:dyDescent="0.45">
      <c r="A6" s="1"/>
      <c r="C6" s="71" t="s">
        <v>40</v>
      </c>
      <c r="D6" s="67">
        <v>44287</v>
      </c>
      <c r="E6" s="68">
        <v>2900</v>
      </c>
      <c r="F6" s="69">
        <v>0.4</v>
      </c>
      <c r="G6" s="66">
        <f t="shared" ref="G6:P33" si="3">IFERROR(IF(DATEDIF($D6,G$1,"M")&gt;12,12,DATEDIF($D6,G$1,"M")),0)*$E6*G$2</f>
        <v>23200</v>
      </c>
      <c r="H6" s="66">
        <f t="shared" si="1"/>
        <v>35844</v>
      </c>
      <c r="I6" s="66">
        <f t="shared" si="1"/>
        <v>36888</v>
      </c>
      <c r="J6" s="314">
        <f t="shared" si="1"/>
        <v>37932</v>
      </c>
      <c r="K6" s="66">
        <f t="shared" si="1"/>
        <v>38976.000000000007</v>
      </c>
      <c r="L6" s="66">
        <f t="shared" si="1"/>
        <v>40020</v>
      </c>
      <c r="M6" s="66">
        <f t="shared" si="1"/>
        <v>40716</v>
      </c>
      <c r="N6" s="66">
        <f t="shared" si="1"/>
        <v>41412</v>
      </c>
      <c r="O6" s="66">
        <f t="shared" si="1"/>
        <v>41760</v>
      </c>
      <c r="P6" s="66">
        <f t="shared" si="1"/>
        <v>42108</v>
      </c>
      <c r="R6" s="177">
        <f t="shared" ref="R6:R33" si="4">IF($F6=40%,G6,0)</f>
        <v>23200</v>
      </c>
      <c r="S6" s="177">
        <f t="shared" si="2"/>
        <v>35844</v>
      </c>
      <c r="T6" s="177">
        <f t="shared" si="2"/>
        <v>36888</v>
      </c>
      <c r="U6" s="177">
        <f t="shared" si="2"/>
        <v>37932</v>
      </c>
      <c r="V6" s="177">
        <f t="shared" si="2"/>
        <v>38976.000000000007</v>
      </c>
      <c r="W6" s="177">
        <f t="shared" si="2"/>
        <v>40020</v>
      </c>
      <c r="X6" s="177">
        <f t="shared" si="2"/>
        <v>40716</v>
      </c>
      <c r="Y6" s="177">
        <f t="shared" si="2"/>
        <v>41412</v>
      </c>
      <c r="Z6" s="177">
        <f t="shared" si="2"/>
        <v>41760</v>
      </c>
      <c r="AA6" s="177">
        <f t="shared" si="2"/>
        <v>42108</v>
      </c>
    </row>
    <row r="7" spans="1:27" x14ac:dyDescent="0.45">
      <c r="A7" s="1"/>
      <c r="C7" s="71" t="s">
        <v>0</v>
      </c>
      <c r="D7" s="67">
        <v>44287</v>
      </c>
      <c r="E7" s="68">
        <v>7000</v>
      </c>
      <c r="F7" s="69">
        <v>0.17</v>
      </c>
      <c r="G7" s="66">
        <f t="shared" si="3"/>
        <v>56000</v>
      </c>
      <c r="H7" s="66">
        <f t="shared" si="1"/>
        <v>86520</v>
      </c>
      <c r="I7" s="66">
        <f t="shared" si="1"/>
        <v>89040</v>
      </c>
      <c r="J7" s="314">
        <f t="shared" si="1"/>
        <v>91560</v>
      </c>
      <c r="K7" s="66">
        <f t="shared" si="1"/>
        <v>94080.000000000015</v>
      </c>
      <c r="L7" s="66">
        <f t="shared" si="1"/>
        <v>96599.999999999985</v>
      </c>
      <c r="M7" s="66">
        <f t="shared" si="1"/>
        <v>98280</v>
      </c>
      <c r="N7" s="66">
        <f t="shared" si="1"/>
        <v>99960</v>
      </c>
      <c r="O7" s="66">
        <f t="shared" si="1"/>
        <v>100800</v>
      </c>
      <c r="P7" s="66">
        <f t="shared" si="1"/>
        <v>101640</v>
      </c>
      <c r="R7" s="177">
        <f t="shared" si="4"/>
        <v>0</v>
      </c>
      <c r="S7" s="177">
        <f t="shared" si="2"/>
        <v>0</v>
      </c>
      <c r="T7" s="177">
        <f t="shared" si="2"/>
        <v>0</v>
      </c>
      <c r="U7" s="177">
        <f t="shared" si="2"/>
        <v>0</v>
      </c>
      <c r="V7" s="177">
        <f t="shared" si="2"/>
        <v>0</v>
      </c>
      <c r="W7" s="177">
        <f t="shared" si="2"/>
        <v>0</v>
      </c>
      <c r="X7" s="177">
        <f t="shared" si="2"/>
        <v>0</v>
      </c>
      <c r="Y7" s="177">
        <f t="shared" si="2"/>
        <v>0</v>
      </c>
      <c r="Z7" s="177">
        <f t="shared" si="2"/>
        <v>0</v>
      </c>
      <c r="AA7" s="177">
        <f t="shared" si="2"/>
        <v>0</v>
      </c>
    </row>
    <row r="8" spans="1:27" x14ac:dyDescent="0.45">
      <c r="A8" s="1"/>
      <c r="C8" s="71" t="s">
        <v>2</v>
      </c>
      <c r="D8" s="67">
        <v>44287</v>
      </c>
      <c r="E8" s="68">
        <v>4300</v>
      </c>
      <c r="F8" s="69">
        <v>0.17</v>
      </c>
      <c r="G8" s="66">
        <f t="shared" si="3"/>
        <v>34400</v>
      </c>
      <c r="H8" s="66">
        <f t="shared" si="1"/>
        <v>53148</v>
      </c>
      <c r="I8" s="66">
        <f t="shared" si="1"/>
        <v>54696</v>
      </c>
      <c r="J8" s="314">
        <f t="shared" si="1"/>
        <v>56244.000000000007</v>
      </c>
      <c r="K8" s="66">
        <f t="shared" si="1"/>
        <v>57792.000000000007</v>
      </c>
      <c r="L8" s="66">
        <f t="shared" si="1"/>
        <v>59339.999999999993</v>
      </c>
      <c r="M8" s="66">
        <f t="shared" si="1"/>
        <v>60371.999999999993</v>
      </c>
      <c r="N8" s="66">
        <f t="shared" si="1"/>
        <v>61404</v>
      </c>
      <c r="O8" s="66">
        <f t="shared" si="1"/>
        <v>61920</v>
      </c>
      <c r="P8" s="66">
        <f t="shared" si="1"/>
        <v>62436</v>
      </c>
      <c r="R8" s="177">
        <f t="shared" si="4"/>
        <v>0</v>
      </c>
      <c r="S8" s="177">
        <f t="shared" si="2"/>
        <v>0</v>
      </c>
      <c r="T8" s="177">
        <f t="shared" si="2"/>
        <v>0</v>
      </c>
      <c r="U8" s="177">
        <f t="shared" si="2"/>
        <v>0</v>
      </c>
      <c r="V8" s="177">
        <f t="shared" si="2"/>
        <v>0</v>
      </c>
      <c r="W8" s="177">
        <f t="shared" si="2"/>
        <v>0</v>
      </c>
      <c r="X8" s="177">
        <f t="shared" si="2"/>
        <v>0</v>
      </c>
      <c r="Y8" s="177">
        <f t="shared" si="2"/>
        <v>0</v>
      </c>
      <c r="Z8" s="177">
        <f t="shared" si="2"/>
        <v>0</v>
      </c>
      <c r="AA8" s="177">
        <f t="shared" si="2"/>
        <v>0</v>
      </c>
    </row>
    <row r="9" spans="1:27" x14ac:dyDescent="0.45">
      <c r="A9" s="1"/>
      <c r="C9" s="71" t="s">
        <v>45</v>
      </c>
      <c r="D9" s="67">
        <v>44652</v>
      </c>
      <c r="E9" s="68">
        <v>4300</v>
      </c>
      <c r="F9" s="69">
        <v>0.17</v>
      </c>
      <c r="G9" s="66">
        <f t="shared" si="3"/>
        <v>0</v>
      </c>
      <c r="H9" s="66">
        <f t="shared" si="1"/>
        <v>35432</v>
      </c>
      <c r="I9" s="66">
        <f t="shared" si="1"/>
        <v>54696</v>
      </c>
      <c r="J9" s="314">
        <f t="shared" si="1"/>
        <v>56244.000000000007</v>
      </c>
      <c r="K9" s="66">
        <f t="shared" si="1"/>
        <v>57792.000000000007</v>
      </c>
      <c r="L9" s="66">
        <f t="shared" si="1"/>
        <v>59339.999999999993</v>
      </c>
      <c r="M9" s="66">
        <f t="shared" si="1"/>
        <v>60371.999999999993</v>
      </c>
      <c r="N9" s="66">
        <f t="shared" si="1"/>
        <v>61404</v>
      </c>
      <c r="O9" s="66">
        <f t="shared" si="1"/>
        <v>61920</v>
      </c>
      <c r="P9" s="66">
        <f t="shared" si="1"/>
        <v>62436</v>
      </c>
      <c r="R9" s="177">
        <f t="shared" si="4"/>
        <v>0</v>
      </c>
      <c r="S9" s="177">
        <f t="shared" si="2"/>
        <v>0</v>
      </c>
      <c r="T9" s="177">
        <f t="shared" si="2"/>
        <v>0</v>
      </c>
      <c r="U9" s="177">
        <f t="shared" si="2"/>
        <v>0</v>
      </c>
      <c r="V9" s="177">
        <f t="shared" si="2"/>
        <v>0</v>
      </c>
      <c r="W9" s="177">
        <f t="shared" si="2"/>
        <v>0</v>
      </c>
      <c r="X9" s="177">
        <f t="shared" si="2"/>
        <v>0</v>
      </c>
      <c r="Y9" s="177">
        <f t="shared" si="2"/>
        <v>0</v>
      </c>
      <c r="Z9" s="177">
        <f t="shared" si="2"/>
        <v>0</v>
      </c>
      <c r="AA9" s="177">
        <f t="shared" si="2"/>
        <v>0</v>
      </c>
    </row>
    <row r="10" spans="1:27" x14ac:dyDescent="0.45">
      <c r="A10" s="1"/>
      <c r="C10" s="71" t="s">
        <v>47</v>
      </c>
      <c r="D10" s="67">
        <v>44652</v>
      </c>
      <c r="E10" s="68">
        <v>3900</v>
      </c>
      <c r="F10" s="69">
        <v>0.4</v>
      </c>
      <c r="G10" s="66">
        <f t="shared" si="3"/>
        <v>0</v>
      </c>
      <c r="H10" s="66">
        <f t="shared" si="1"/>
        <v>32136</v>
      </c>
      <c r="I10" s="66">
        <f t="shared" si="1"/>
        <v>49608</v>
      </c>
      <c r="J10" s="314">
        <f t="shared" si="1"/>
        <v>51012.000000000007</v>
      </c>
      <c r="K10" s="66">
        <f t="shared" si="1"/>
        <v>52416.000000000007</v>
      </c>
      <c r="L10" s="66">
        <f t="shared" si="1"/>
        <v>53819.999999999993</v>
      </c>
      <c r="M10" s="66">
        <f t="shared" si="1"/>
        <v>54756</v>
      </c>
      <c r="N10" s="66">
        <f t="shared" si="1"/>
        <v>55692</v>
      </c>
      <c r="O10" s="66">
        <f t="shared" si="1"/>
        <v>56160</v>
      </c>
      <c r="P10" s="66">
        <f t="shared" si="1"/>
        <v>56628</v>
      </c>
      <c r="R10" s="177">
        <f t="shared" si="4"/>
        <v>0</v>
      </c>
      <c r="S10" s="177">
        <f t="shared" si="2"/>
        <v>32136</v>
      </c>
      <c r="T10" s="177">
        <f t="shared" si="2"/>
        <v>49608</v>
      </c>
      <c r="U10" s="177">
        <f t="shared" si="2"/>
        <v>51012.000000000007</v>
      </c>
      <c r="V10" s="177">
        <f t="shared" si="2"/>
        <v>52416.000000000007</v>
      </c>
      <c r="W10" s="177">
        <f t="shared" si="2"/>
        <v>53819.999999999993</v>
      </c>
      <c r="X10" s="177">
        <f t="shared" si="2"/>
        <v>54756</v>
      </c>
      <c r="Y10" s="177">
        <f t="shared" si="2"/>
        <v>55692</v>
      </c>
      <c r="Z10" s="177">
        <f t="shared" si="2"/>
        <v>56160</v>
      </c>
      <c r="AA10" s="177">
        <f t="shared" si="2"/>
        <v>56628</v>
      </c>
    </row>
    <row r="11" spans="1:27" x14ac:dyDescent="0.45">
      <c r="A11" s="1"/>
      <c r="C11" s="71" t="s">
        <v>38</v>
      </c>
      <c r="D11" s="67">
        <v>44348</v>
      </c>
      <c r="E11" s="68">
        <v>4300</v>
      </c>
      <c r="F11" s="69">
        <v>0.17</v>
      </c>
      <c r="G11" s="66">
        <f t="shared" si="3"/>
        <v>25800</v>
      </c>
      <c r="H11" s="66">
        <f t="shared" si="1"/>
        <v>53148</v>
      </c>
      <c r="I11" s="66">
        <f t="shared" si="1"/>
        <v>54696</v>
      </c>
      <c r="J11" s="314">
        <f t="shared" si="1"/>
        <v>56244.000000000007</v>
      </c>
      <c r="K11" s="66">
        <f t="shared" si="1"/>
        <v>57792.000000000007</v>
      </c>
      <c r="L11" s="66">
        <f t="shared" si="1"/>
        <v>59339.999999999993</v>
      </c>
      <c r="M11" s="66">
        <f t="shared" si="1"/>
        <v>60371.999999999993</v>
      </c>
      <c r="N11" s="66">
        <f t="shared" si="1"/>
        <v>61404</v>
      </c>
      <c r="O11" s="66">
        <f t="shared" si="1"/>
        <v>61920</v>
      </c>
      <c r="P11" s="66">
        <f t="shared" si="1"/>
        <v>62436</v>
      </c>
      <c r="R11" s="177">
        <f t="shared" si="4"/>
        <v>0</v>
      </c>
      <c r="S11" s="177">
        <f t="shared" si="2"/>
        <v>0</v>
      </c>
      <c r="T11" s="177">
        <f t="shared" si="2"/>
        <v>0</v>
      </c>
      <c r="U11" s="177">
        <f t="shared" si="2"/>
        <v>0</v>
      </c>
      <c r="V11" s="177">
        <f t="shared" si="2"/>
        <v>0</v>
      </c>
      <c r="W11" s="177">
        <f t="shared" si="2"/>
        <v>0</v>
      </c>
      <c r="X11" s="177">
        <f t="shared" si="2"/>
        <v>0</v>
      </c>
      <c r="Y11" s="177">
        <f t="shared" si="2"/>
        <v>0</v>
      </c>
      <c r="Z11" s="177">
        <f t="shared" si="2"/>
        <v>0</v>
      </c>
      <c r="AA11" s="177">
        <f t="shared" si="2"/>
        <v>0</v>
      </c>
    </row>
    <row r="12" spans="1:27" x14ac:dyDescent="0.45">
      <c r="A12" s="1"/>
      <c r="C12" s="71" t="s">
        <v>39</v>
      </c>
      <c r="D12" s="67">
        <v>45170</v>
      </c>
      <c r="E12" s="68">
        <v>4300</v>
      </c>
      <c r="F12" s="69">
        <v>0.17</v>
      </c>
      <c r="G12" s="66">
        <f t="shared" si="3"/>
        <v>0</v>
      </c>
      <c r="H12" s="66">
        <f t="shared" si="1"/>
        <v>0</v>
      </c>
      <c r="I12" s="66">
        <f t="shared" si="1"/>
        <v>13674</v>
      </c>
      <c r="J12" s="314">
        <f t="shared" si="1"/>
        <v>56244.000000000007</v>
      </c>
      <c r="K12" s="66">
        <f t="shared" si="1"/>
        <v>57792.000000000007</v>
      </c>
      <c r="L12" s="66">
        <f t="shared" si="1"/>
        <v>59339.999999999993</v>
      </c>
      <c r="M12" s="66">
        <f t="shared" si="1"/>
        <v>60371.999999999993</v>
      </c>
      <c r="N12" s="66">
        <f t="shared" si="1"/>
        <v>61404</v>
      </c>
      <c r="O12" s="66">
        <f t="shared" si="1"/>
        <v>61920</v>
      </c>
      <c r="P12" s="66">
        <f t="shared" si="1"/>
        <v>62436</v>
      </c>
      <c r="R12" s="177">
        <f t="shared" si="4"/>
        <v>0</v>
      </c>
      <c r="S12" s="177">
        <f t="shared" si="2"/>
        <v>0</v>
      </c>
      <c r="T12" s="177">
        <f t="shared" si="2"/>
        <v>0</v>
      </c>
      <c r="U12" s="177">
        <f t="shared" si="2"/>
        <v>0</v>
      </c>
      <c r="V12" s="177">
        <f t="shared" si="2"/>
        <v>0</v>
      </c>
      <c r="W12" s="177">
        <f t="shared" si="2"/>
        <v>0</v>
      </c>
      <c r="X12" s="177">
        <f t="shared" si="2"/>
        <v>0</v>
      </c>
      <c r="Y12" s="177">
        <f t="shared" si="2"/>
        <v>0</v>
      </c>
      <c r="Z12" s="177">
        <f t="shared" si="2"/>
        <v>0</v>
      </c>
      <c r="AA12" s="177">
        <f t="shared" si="2"/>
        <v>0</v>
      </c>
    </row>
    <row r="13" spans="1:27" x14ac:dyDescent="0.45">
      <c r="C13" s="71" t="s">
        <v>50</v>
      </c>
      <c r="D13" s="67">
        <v>44562</v>
      </c>
      <c r="E13" s="68">
        <v>3500</v>
      </c>
      <c r="F13" s="69">
        <v>0.4</v>
      </c>
      <c r="G13" s="66">
        <f t="shared" si="3"/>
        <v>0</v>
      </c>
      <c r="H13" s="66">
        <f t="shared" si="1"/>
        <v>39655</v>
      </c>
      <c r="I13" s="66">
        <f t="shared" si="1"/>
        <v>44520</v>
      </c>
      <c r="J13" s="314">
        <f t="shared" si="1"/>
        <v>45780</v>
      </c>
      <c r="K13" s="66">
        <f t="shared" si="1"/>
        <v>47040.000000000007</v>
      </c>
      <c r="L13" s="66">
        <f t="shared" si="1"/>
        <v>48299.999999999993</v>
      </c>
      <c r="M13" s="66">
        <f t="shared" si="1"/>
        <v>49140</v>
      </c>
      <c r="N13" s="66">
        <f t="shared" si="1"/>
        <v>49980</v>
      </c>
      <c r="O13" s="66">
        <f t="shared" si="1"/>
        <v>50400</v>
      </c>
      <c r="P13" s="66">
        <f t="shared" si="1"/>
        <v>50820</v>
      </c>
      <c r="R13" s="177">
        <f t="shared" si="4"/>
        <v>0</v>
      </c>
      <c r="S13" s="177">
        <f t="shared" si="2"/>
        <v>39655</v>
      </c>
      <c r="T13" s="177">
        <f t="shared" si="2"/>
        <v>44520</v>
      </c>
      <c r="U13" s="177">
        <f t="shared" si="2"/>
        <v>45780</v>
      </c>
      <c r="V13" s="177">
        <f t="shared" si="2"/>
        <v>47040.000000000007</v>
      </c>
      <c r="W13" s="177">
        <f t="shared" si="2"/>
        <v>48299.999999999993</v>
      </c>
      <c r="X13" s="177">
        <f t="shared" si="2"/>
        <v>49140</v>
      </c>
      <c r="Y13" s="177">
        <f t="shared" si="2"/>
        <v>49980</v>
      </c>
      <c r="Z13" s="177">
        <f t="shared" si="2"/>
        <v>50400</v>
      </c>
      <c r="AA13" s="177">
        <f t="shared" si="2"/>
        <v>50820</v>
      </c>
    </row>
    <row r="14" spans="1:27" x14ac:dyDescent="0.45">
      <c r="C14" s="71" t="s">
        <v>191</v>
      </c>
      <c r="D14" s="67">
        <v>44348</v>
      </c>
      <c r="E14" s="68">
        <v>5200</v>
      </c>
      <c r="F14" s="69">
        <v>0.4</v>
      </c>
      <c r="G14" s="66">
        <f t="shared" si="3"/>
        <v>31200</v>
      </c>
      <c r="H14" s="66">
        <f t="shared" si="1"/>
        <v>64272</v>
      </c>
      <c r="I14" s="66">
        <f t="shared" si="1"/>
        <v>66144</v>
      </c>
      <c r="J14" s="314">
        <f t="shared" si="1"/>
        <v>68016</v>
      </c>
      <c r="K14" s="66">
        <f t="shared" si="1"/>
        <v>69888</v>
      </c>
      <c r="L14" s="66">
        <f t="shared" si="1"/>
        <v>71760</v>
      </c>
      <c r="M14" s="66">
        <f t="shared" si="1"/>
        <v>73008</v>
      </c>
      <c r="N14" s="66">
        <f t="shared" si="1"/>
        <v>74256</v>
      </c>
      <c r="O14" s="66">
        <f t="shared" si="1"/>
        <v>74880</v>
      </c>
      <c r="P14" s="66">
        <f t="shared" si="1"/>
        <v>75504</v>
      </c>
      <c r="R14" s="177">
        <f t="shared" si="4"/>
        <v>31200</v>
      </c>
      <c r="S14" s="177">
        <f t="shared" si="2"/>
        <v>64272</v>
      </c>
      <c r="T14" s="177">
        <f t="shared" si="2"/>
        <v>66144</v>
      </c>
      <c r="U14" s="177">
        <f t="shared" si="2"/>
        <v>68016</v>
      </c>
      <c r="V14" s="177">
        <f t="shared" si="2"/>
        <v>69888</v>
      </c>
      <c r="W14" s="177">
        <f t="shared" si="2"/>
        <v>71760</v>
      </c>
      <c r="X14" s="177">
        <f t="shared" si="2"/>
        <v>73008</v>
      </c>
      <c r="Y14" s="177">
        <f t="shared" si="2"/>
        <v>74256</v>
      </c>
      <c r="Z14" s="177">
        <f t="shared" si="2"/>
        <v>74880</v>
      </c>
      <c r="AA14" s="177">
        <f t="shared" si="2"/>
        <v>75504</v>
      </c>
    </row>
    <row r="15" spans="1:27" x14ac:dyDescent="0.45">
      <c r="C15" s="71" t="s">
        <v>1</v>
      </c>
      <c r="D15" s="67">
        <v>45717</v>
      </c>
      <c r="E15" s="68">
        <v>3900</v>
      </c>
      <c r="F15" s="69">
        <v>0.4</v>
      </c>
      <c r="G15" s="66">
        <f t="shared" si="3"/>
        <v>0</v>
      </c>
      <c r="H15" s="66">
        <f t="shared" si="1"/>
        <v>0</v>
      </c>
      <c r="I15" s="66">
        <f t="shared" si="1"/>
        <v>0</v>
      </c>
      <c r="J15" s="314">
        <f t="shared" si="1"/>
        <v>0</v>
      </c>
      <c r="K15" s="66">
        <f t="shared" si="1"/>
        <v>39312.000000000007</v>
      </c>
      <c r="L15" s="66">
        <f t="shared" si="1"/>
        <v>53819.999999999993</v>
      </c>
      <c r="M15" s="66">
        <f t="shared" si="1"/>
        <v>54756</v>
      </c>
      <c r="N15" s="66">
        <f t="shared" si="1"/>
        <v>55692</v>
      </c>
      <c r="O15" s="66">
        <f t="shared" si="1"/>
        <v>56160</v>
      </c>
      <c r="P15" s="66">
        <f t="shared" si="1"/>
        <v>56628</v>
      </c>
      <c r="R15" s="177">
        <f t="shared" si="4"/>
        <v>0</v>
      </c>
      <c r="S15" s="177">
        <f t="shared" si="2"/>
        <v>0</v>
      </c>
      <c r="T15" s="177">
        <f t="shared" si="2"/>
        <v>0</v>
      </c>
      <c r="U15" s="177">
        <f t="shared" si="2"/>
        <v>0</v>
      </c>
      <c r="V15" s="177">
        <f t="shared" si="2"/>
        <v>39312.000000000007</v>
      </c>
      <c r="W15" s="177">
        <f t="shared" si="2"/>
        <v>53819.999999999993</v>
      </c>
      <c r="X15" s="177">
        <f t="shared" si="2"/>
        <v>54756</v>
      </c>
      <c r="Y15" s="177">
        <f t="shared" si="2"/>
        <v>55692</v>
      </c>
      <c r="Z15" s="177">
        <f t="shared" si="2"/>
        <v>56160</v>
      </c>
      <c r="AA15" s="177">
        <f t="shared" si="2"/>
        <v>56628</v>
      </c>
    </row>
    <row r="16" spans="1:27" x14ac:dyDescent="0.45">
      <c r="C16" s="71" t="s">
        <v>3</v>
      </c>
      <c r="D16" s="67">
        <v>44621</v>
      </c>
      <c r="E16" s="68">
        <v>3000</v>
      </c>
      <c r="F16" s="69">
        <v>0.17</v>
      </c>
      <c r="G16" s="66">
        <f t="shared" si="3"/>
        <v>0</v>
      </c>
      <c r="H16" s="66">
        <f t="shared" si="1"/>
        <v>27810</v>
      </c>
      <c r="I16" s="66">
        <f t="shared" si="1"/>
        <v>38160</v>
      </c>
      <c r="J16" s="314">
        <f t="shared" si="1"/>
        <v>39240</v>
      </c>
      <c r="K16" s="66">
        <f t="shared" si="1"/>
        <v>40320.000000000007</v>
      </c>
      <c r="L16" s="66">
        <f t="shared" si="1"/>
        <v>41400</v>
      </c>
      <c r="M16" s="66">
        <f t="shared" si="1"/>
        <v>42120</v>
      </c>
      <c r="N16" s="66">
        <f t="shared" si="1"/>
        <v>42840</v>
      </c>
      <c r="O16" s="66">
        <f t="shared" si="1"/>
        <v>43200</v>
      </c>
      <c r="P16" s="66">
        <f t="shared" si="1"/>
        <v>43560</v>
      </c>
      <c r="R16" s="177">
        <f t="shared" si="4"/>
        <v>0</v>
      </c>
      <c r="S16" s="177">
        <f t="shared" si="2"/>
        <v>0</v>
      </c>
      <c r="T16" s="177">
        <f t="shared" si="2"/>
        <v>0</v>
      </c>
      <c r="U16" s="177">
        <f t="shared" si="2"/>
        <v>0</v>
      </c>
      <c r="V16" s="177">
        <f t="shared" si="2"/>
        <v>0</v>
      </c>
      <c r="W16" s="177">
        <f t="shared" si="2"/>
        <v>0</v>
      </c>
      <c r="X16" s="177">
        <f t="shared" si="2"/>
        <v>0</v>
      </c>
      <c r="Y16" s="177">
        <f t="shared" si="2"/>
        <v>0</v>
      </c>
      <c r="Z16" s="177">
        <f t="shared" si="2"/>
        <v>0</v>
      </c>
      <c r="AA16" s="177">
        <f t="shared" si="2"/>
        <v>0</v>
      </c>
    </row>
    <row r="17" spans="3:27" x14ac:dyDescent="0.45">
      <c r="C17" s="71" t="s">
        <v>43</v>
      </c>
      <c r="D17" s="67">
        <v>44986</v>
      </c>
      <c r="E17" s="68">
        <v>4300</v>
      </c>
      <c r="F17" s="69">
        <v>0.17</v>
      </c>
      <c r="G17" s="66">
        <f t="shared" si="3"/>
        <v>0</v>
      </c>
      <c r="H17" s="66">
        <f t="shared" si="1"/>
        <v>0</v>
      </c>
      <c r="I17" s="66">
        <f t="shared" si="1"/>
        <v>41022</v>
      </c>
      <c r="J17" s="314">
        <f t="shared" si="1"/>
        <v>56244.000000000007</v>
      </c>
      <c r="K17" s="66">
        <f t="shared" si="1"/>
        <v>57792.000000000007</v>
      </c>
      <c r="L17" s="66">
        <f t="shared" si="1"/>
        <v>59339.999999999993</v>
      </c>
      <c r="M17" s="66">
        <f t="shared" si="1"/>
        <v>60371.999999999993</v>
      </c>
      <c r="N17" s="66">
        <f t="shared" si="1"/>
        <v>61404</v>
      </c>
      <c r="O17" s="66">
        <f t="shared" si="1"/>
        <v>61920</v>
      </c>
      <c r="P17" s="66">
        <f t="shared" si="1"/>
        <v>62436</v>
      </c>
      <c r="R17" s="177">
        <f t="shared" si="4"/>
        <v>0</v>
      </c>
      <c r="S17" s="177">
        <f t="shared" si="2"/>
        <v>0</v>
      </c>
      <c r="T17" s="177">
        <f t="shared" si="2"/>
        <v>0</v>
      </c>
      <c r="U17" s="177">
        <f t="shared" si="2"/>
        <v>0</v>
      </c>
      <c r="V17" s="177">
        <f t="shared" si="2"/>
        <v>0</v>
      </c>
      <c r="W17" s="177">
        <f t="shared" si="2"/>
        <v>0</v>
      </c>
      <c r="X17" s="177">
        <f t="shared" si="2"/>
        <v>0</v>
      </c>
      <c r="Y17" s="177">
        <f t="shared" si="2"/>
        <v>0</v>
      </c>
      <c r="Z17" s="177">
        <f t="shared" si="2"/>
        <v>0</v>
      </c>
      <c r="AA17" s="177">
        <f t="shared" si="2"/>
        <v>0</v>
      </c>
    </row>
    <row r="18" spans="3:27" x14ac:dyDescent="0.45">
      <c r="C18" s="71" t="s">
        <v>44</v>
      </c>
      <c r="D18" s="67">
        <v>45352</v>
      </c>
      <c r="E18" s="68">
        <v>4300</v>
      </c>
      <c r="F18" s="69">
        <v>0.17</v>
      </c>
      <c r="G18" s="66">
        <f t="shared" si="3"/>
        <v>0</v>
      </c>
      <c r="H18" s="66">
        <f t="shared" si="1"/>
        <v>0</v>
      </c>
      <c r="I18" s="66">
        <f t="shared" si="1"/>
        <v>0</v>
      </c>
      <c r="J18" s="314">
        <f t="shared" si="1"/>
        <v>42183</v>
      </c>
      <c r="K18" s="66">
        <f t="shared" si="1"/>
        <v>57792.000000000007</v>
      </c>
      <c r="L18" s="66">
        <f t="shared" si="1"/>
        <v>59339.999999999993</v>
      </c>
      <c r="M18" s="66">
        <f t="shared" si="1"/>
        <v>60371.999999999993</v>
      </c>
      <c r="N18" s="66">
        <f t="shared" si="1"/>
        <v>61404</v>
      </c>
      <c r="O18" s="66">
        <f t="shared" si="1"/>
        <v>61920</v>
      </c>
      <c r="P18" s="66">
        <f t="shared" si="1"/>
        <v>62436</v>
      </c>
      <c r="R18" s="177">
        <f t="shared" si="4"/>
        <v>0</v>
      </c>
      <c r="S18" s="177">
        <f t="shared" si="2"/>
        <v>0</v>
      </c>
      <c r="T18" s="177">
        <f t="shared" si="2"/>
        <v>0</v>
      </c>
      <c r="U18" s="177">
        <f t="shared" si="2"/>
        <v>0</v>
      </c>
      <c r="V18" s="177">
        <f t="shared" si="2"/>
        <v>0</v>
      </c>
      <c r="W18" s="177">
        <f t="shared" si="2"/>
        <v>0</v>
      </c>
      <c r="X18" s="177">
        <f t="shared" si="2"/>
        <v>0</v>
      </c>
      <c r="Y18" s="177">
        <f t="shared" si="2"/>
        <v>0</v>
      </c>
      <c r="Z18" s="177">
        <f t="shared" si="2"/>
        <v>0</v>
      </c>
      <c r="AA18" s="177">
        <f t="shared" si="2"/>
        <v>0</v>
      </c>
    </row>
    <row r="19" spans="3:27" x14ac:dyDescent="0.45">
      <c r="C19" s="71" t="s">
        <v>4</v>
      </c>
      <c r="D19" s="67">
        <v>44621</v>
      </c>
      <c r="E19" s="68">
        <v>3700</v>
      </c>
      <c r="F19" s="69">
        <v>0.17</v>
      </c>
      <c r="G19" s="66">
        <f t="shared" si="3"/>
        <v>0</v>
      </c>
      <c r="H19" s="66">
        <f t="shared" si="1"/>
        <v>34299</v>
      </c>
      <c r="I19" s="66">
        <f t="shared" si="1"/>
        <v>47064</v>
      </c>
      <c r="J19" s="314">
        <f t="shared" si="1"/>
        <v>48396</v>
      </c>
      <c r="K19" s="66">
        <f t="shared" si="1"/>
        <v>49728.000000000007</v>
      </c>
      <c r="L19" s="66">
        <f t="shared" si="1"/>
        <v>51059.999999999993</v>
      </c>
      <c r="M19" s="66">
        <f t="shared" si="1"/>
        <v>51948</v>
      </c>
      <c r="N19" s="66">
        <f t="shared" si="1"/>
        <v>52836</v>
      </c>
      <c r="O19" s="66">
        <f t="shared" si="1"/>
        <v>53280</v>
      </c>
      <c r="P19" s="66">
        <f t="shared" si="1"/>
        <v>53724</v>
      </c>
      <c r="R19" s="177">
        <f t="shared" si="4"/>
        <v>0</v>
      </c>
      <c r="S19" s="177">
        <f t="shared" si="2"/>
        <v>0</v>
      </c>
      <c r="T19" s="177">
        <f t="shared" si="2"/>
        <v>0</v>
      </c>
      <c r="U19" s="177">
        <f t="shared" si="2"/>
        <v>0</v>
      </c>
      <c r="V19" s="177">
        <f t="shared" si="2"/>
        <v>0</v>
      </c>
      <c r="W19" s="177">
        <f t="shared" si="2"/>
        <v>0</v>
      </c>
      <c r="X19" s="177">
        <f t="shared" si="2"/>
        <v>0</v>
      </c>
      <c r="Y19" s="177">
        <f t="shared" si="2"/>
        <v>0</v>
      </c>
      <c r="Z19" s="177">
        <f t="shared" si="2"/>
        <v>0</v>
      </c>
      <c r="AA19" s="177">
        <f t="shared" si="2"/>
        <v>0</v>
      </c>
    </row>
    <row r="20" spans="3:27" x14ac:dyDescent="0.45">
      <c r="C20" s="71" t="s">
        <v>6</v>
      </c>
      <c r="D20" s="67">
        <v>44621</v>
      </c>
      <c r="E20" s="68">
        <v>3700</v>
      </c>
      <c r="F20" s="69">
        <v>0.17</v>
      </c>
      <c r="G20" s="66">
        <f t="shared" si="3"/>
        <v>0</v>
      </c>
      <c r="H20" s="66">
        <f t="shared" si="1"/>
        <v>34299</v>
      </c>
      <c r="I20" s="66">
        <f t="shared" si="1"/>
        <v>47064</v>
      </c>
      <c r="J20" s="314">
        <f t="shared" si="1"/>
        <v>48396</v>
      </c>
      <c r="K20" s="66">
        <f t="shared" si="1"/>
        <v>49728.000000000007</v>
      </c>
      <c r="L20" s="66">
        <f t="shared" si="1"/>
        <v>51059.999999999993</v>
      </c>
      <c r="M20" s="66">
        <f t="shared" si="1"/>
        <v>51948</v>
      </c>
      <c r="N20" s="66">
        <f t="shared" si="1"/>
        <v>52836</v>
      </c>
      <c r="O20" s="66">
        <f t="shared" si="1"/>
        <v>53280</v>
      </c>
      <c r="P20" s="66">
        <f t="shared" si="1"/>
        <v>53724</v>
      </c>
      <c r="R20" s="177">
        <f t="shared" si="4"/>
        <v>0</v>
      </c>
      <c r="S20" s="177">
        <f t="shared" si="2"/>
        <v>0</v>
      </c>
      <c r="T20" s="177">
        <f t="shared" si="2"/>
        <v>0</v>
      </c>
      <c r="U20" s="177">
        <f t="shared" si="2"/>
        <v>0</v>
      </c>
      <c r="V20" s="177">
        <f t="shared" si="2"/>
        <v>0</v>
      </c>
      <c r="W20" s="177">
        <f t="shared" si="2"/>
        <v>0</v>
      </c>
      <c r="X20" s="177">
        <f t="shared" si="2"/>
        <v>0</v>
      </c>
      <c r="Y20" s="177">
        <f t="shared" si="2"/>
        <v>0</v>
      </c>
      <c r="Z20" s="177">
        <f t="shared" si="2"/>
        <v>0</v>
      </c>
      <c r="AA20" s="177">
        <f t="shared" si="2"/>
        <v>0</v>
      </c>
    </row>
    <row r="21" spans="3:27" x14ac:dyDescent="0.45">
      <c r="C21" s="71" t="s">
        <v>41</v>
      </c>
      <c r="D21" s="67">
        <v>45078</v>
      </c>
      <c r="E21" s="68">
        <v>2900</v>
      </c>
      <c r="F21" s="69">
        <v>0.4</v>
      </c>
      <c r="G21" s="66">
        <f t="shared" si="3"/>
        <v>0</v>
      </c>
      <c r="H21" s="66">
        <f t="shared" si="3"/>
        <v>0</v>
      </c>
      <c r="I21" s="66">
        <f t="shared" si="3"/>
        <v>18444</v>
      </c>
      <c r="J21" s="314">
        <f t="shared" si="3"/>
        <v>37932</v>
      </c>
      <c r="K21" s="66">
        <f t="shared" si="3"/>
        <v>38976.000000000007</v>
      </c>
      <c r="L21" s="66">
        <f t="shared" si="3"/>
        <v>40020</v>
      </c>
      <c r="M21" s="66">
        <f t="shared" si="3"/>
        <v>40716</v>
      </c>
      <c r="N21" s="66">
        <f t="shared" si="3"/>
        <v>41412</v>
      </c>
      <c r="O21" s="66">
        <f t="shared" si="3"/>
        <v>41760</v>
      </c>
      <c r="P21" s="66">
        <f t="shared" si="3"/>
        <v>42108</v>
      </c>
      <c r="R21" s="177">
        <f t="shared" si="4"/>
        <v>0</v>
      </c>
      <c r="S21" s="177">
        <f t="shared" ref="S21:S33" si="5">IF($F21=40%,H21,0)</f>
        <v>0</v>
      </c>
      <c r="T21" s="177">
        <f t="shared" ref="T21:T33" si="6">IF($F21=40%,I21,0)</f>
        <v>18444</v>
      </c>
      <c r="U21" s="177">
        <f t="shared" ref="U21:U33" si="7">IF($F21=40%,J21,0)</f>
        <v>37932</v>
      </c>
      <c r="V21" s="177">
        <f t="shared" ref="V21:V33" si="8">IF($F21=40%,K21,0)</f>
        <v>38976.000000000007</v>
      </c>
      <c r="W21" s="177">
        <f t="shared" ref="W21:W33" si="9">IF($F21=40%,L21,0)</f>
        <v>40020</v>
      </c>
      <c r="X21" s="177">
        <f t="shared" ref="X21:X33" si="10">IF($F21=40%,M21,0)</f>
        <v>40716</v>
      </c>
      <c r="Y21" s="177">
        <f t="shared" ref="Y21:Y33" si="11">IF($F21=40%,N21,0)</f>
        <v>41412</v>
      </c>
      <c r="Z21" s="177">
        <f t="shared" ref="Z21:Z33" si="12">IF($F21=40%,O21,0)</f>
        <v>41760</v>
      </c>
      <c r="AA21" s="177">
        <f t="shared" ref="AA21:AA33" si="13">IF($F21=40%,P21,0)</f>
        <v>42108</v>
      </c>
    </row>
    <row r="22" spans="3:27" x14ac:dyDescent="0.45">
      <c r="C22" s="71" t="s">
        <v>42</v>
      </c>
      <c r="D22" s="67">
        <v>46539</v>
      </c>
      <c r="E22" s="68">
        <v>2900</v>
      </c>
      <c r="F22" s="69">
        <v>0.4</v>
      </c>
      <c r="G22" s="66">
        <f t="shared" si="3"/>
        <v>0</v>
      </c>
      <c r="H22" s="66">
        <f t="shared" si="3"/>
        <v>0</v>
      </c>
      <c r="I22" s="66">
        <f t="shared" si="3"/>
        <v>0</v>
      </c>
      <c r="J22" s="314">
        <f t="shared" si="3"/>
        <v>0</v>
      </c>
      <c r="K22" s="66">
        <f t="shared" si="3"/>
        <v>0</v>
      </c>
      <c r="L22" s="66">
        <f t="shared" si="3"/>
        <v>0</v>
      </c>
      <c r="M22" s="66">
        <f t="shared" si="3"/>
        <v>20358</v>
      </c>
      <c r="N22" s="66">
        <f t="shared" si="3"/>
        <v>41412</v>
      </c>
      <c r="O22" s="66">
        <f t="shared" si="3"/>
        <v>41760</v>
      </c>
      <c r="P22" s="66">
        <f t="shared" si="3"/>
        <v>42108</v>
      </c>
      <c r="R22" s="177">
        <f t="shared" si="4"/>
        <v>0</v>
      </c>
      <c r="S22" s="177">
        <f t="shared" si="5"/>
        <v>0</v>
      </c>
      <c r="T22" s="177">
        <f t="shared" si="6"/>
        <v>0</v>
      </c>
      <c r="U22" s="177">
        <f t="shared" si="7"/>
        <v>0</v>
      </c>
      <c r="V22" s="177">
        <f t="shared" si="8"/>
        <v>0</v>
      </c>
      <c r="W22" s="177">
        <f t="shared" si="9"/>
        <v>0</v>
      </c>
      <c r="X22" s="177">
        <f t="shared" si="10"/>
        <v>20358</v>
      </c>
      <c r="Y22" s="177">
        <f t="shared" si="11"/>
        <v>41412</v>
      </c>
      <c r="Z22" s="177">
        <f t="shared" si="12"/>
        <v>41760</v>
      </c>
      <c r="AA22" s="177">
        <f t="shared" si="13"/>
        <v>42108</v>
      </c>
    </row>
    <row r="23" spans="3:27" x14ac:dyDescent="0.45">
      <c r="C23" s="71" t="s">
        <v>5</v>
      </c>
      <c r="D23" s="67">
        <v>44986</v>
      </c>
      <c r="E23" s="68">
        <v>3700</v>
      </c>
      <c r="F23" s="69">
        <v>0.17</v>
      </c>
      <c r="G23" s="66">
        <f t="shared" si="3"/>
        <v>0</v>
      </c>
      <c r="H23" s="66">
        <f t="shared" si="3"/>
        <v>0</v>
      </c>
      <c r="I23" s="66">
        <f t="shared" si="3"/>
        <v>35298</v>
      </c>
      <c r="J23" s="314">
        <f t="shared" si="3"/>
        <v>48396</v>
      </c>
      <c r="K23" s="66">
        <f t="shared" si="3"/>
        <v>49728.000000000007</v>
      </c>
      <c r="L23" s="66">
        <f t="shared" si="3"/>
        <v>51059.999999999993</v>
      </c>
      <c r="M23" s="66">
        <f t="shared" si="3"/>
        <v>51948</v>
      </c>
      <c r="N23" s="66">
        <f t="shared" si="3"/>
        <v>52836</v>
      </c>
      <c r="O23" s="66">
        <f t="shared" si="3"/>
        <v>53280</v>
      </c>
      <c r="P23" s="66">
        <f t="shared" si="3"/>
        <v>53724</v>
      </c>
      <c r="R23" s="177">
        <f t="shared" si="4"/>
        <v>0</v>
      </c>
      <c r="S23" s="177">
        <f t="shared" si="5"/>
        <v>0</v>
      </c>
      <c r="T23" s="177">
        <f t="shared" si="6"/>
        <v>0</v>
      </c>
      <c r="U23" s="177">
        <f t="shared" si="7"/>
        <v>0</v>
      </c>
      <c r="V23" s="177">
        <f t="shared" si="8"/>
        <v>0</v>
      </c>
      <c r="W23" s="177">
        <f t="shared" si="9"/>
        <v>0</v>
      </c>
      <c r="X23" s="177">
        <f t="shared" si="10"/>
        <v>0</v>
      </c>
      <c r="Y23" s="177">
        <f t="shared" si="11"/>
        <v>0</v>
      </c>
      <c r="Z23" s="177">
        <f t="shared" si="12"/>
        <v>0</v>
      </c>
      <c r="AA23" s="177">
        <f t="shared" si="13"/>
        <v>0</v>
      </c>
    </row>
    <row r="24" spans="3:27" x14ac:dyDescent="0.45">
      <c r="C24" s="71" t="s">
        <v>46</v>
      </c>
      <c r="D24" s="67">
        <v>45717</v>
      </c>
      <c r="E24" s="68">
        <v>4300</v>
      </c>
      <c r="F24" s="69">
        <v>0.17</v>
      </c>
      <c r="G24" s="66">
        <f t="shared" si="3"/>
        <v>0</v>
      </c>
      <c r="H24" s="66">
        <f t="shared" si="3"/>
        <v>0</v>
      </c>
      <c r="I24" s="66">
        <f t="shared" si="3"/>
        <v>0</v>
      </c>
      <c r="J24" s="314">
        <f t="shared" si="3"/>
        <v>0</v>
      </c>
      <c r="K24" s="66">
        <f t="shared" si="3"/>
        <v>43344.000000000007</v>
      </c>
      <c r="L24" s="66">
        <f t="shared" si="3"/>
        <v>59339.999999999993</v>
      </c>
      <c r="M24" s="66">
        <f t="shared" si="3"/>
        <v>60371.999999999993</v>
      </c>
      <c r="N24" s="66">
        <f t="shared" si="3"/>
        <v>61404</v>
      </c>
      <c r="O24" s="66">
        <f t="shared" si="3"/>
        <v>61920</v>
      </c>
      <c r="P24" s="66">
        <f t="shared" si="3"/>
        <v>62436</v>
      </c>
      <c r="R24" s="177">
        <f t="shared" si="4"/>
        <v>0</v>
      </c>
      <c r="S24" s="177">
        <f t="shared" si="5"/>
        <v>0</v>
      </c>
      <c r="T24" s="177">
        <f t="shared" si="6"/>
        <v>0</v>
      </c>
      <c r="U24" s="177">
        <f t="shared" si="7"/>
        <v>0</v>
      </c>
      <c r="V24" s="177">
        <f t="shared" si="8"/>
        <v>0</v>
      </c>
      <c r="W24" s="177">
        <f t="shared" si="9"/>
        <v>0</v>
      </c>
      <c r="X24" s="177">
        <f t="shared" si="10"/>
        <v>0</v>
      </c>
      <c r="Y24" s="177">
        <f t="shared" si="11"/>
        <v>0</v>
      </c>
      <c r="Z24" s="177">
        <f t="shared" si="12"/>
        <v>0</v>
      </c>
      <c r="AA24" s="177">
        <f t="shared" si="13"/>
        <v>0</v>
      </c>
    </row>
    <row r="25" spans="3:27" x14ac:dyDescent="0.45">
      <c r="C25" s="71" t="s">
        <v>48</v>
      </c>
      <c r="D25" s="67">
        <v>45717</v>
      </c>
      <c r="E25" s="68">
        <v>3900</v>
      </c>
      <c r="F25" s="69">
        <v>0.4</v>
      </c>
      <c r="G25" s="66">
        <f t="shared" si="3"/>
        <v>0</v>
      </c>
      <c r="H25" s="66">
        <f t="shared" si="3"/>
        <v>0</v>
      </c>
      <c r="I25" s="66">
        <f t="shared" si="3"/>
        <v>0</v>
      </c>
      <c r="J25" s="314">
        <f t="shared" si="3"/>
        <v>0</v>
      </c>
      <c r="K25" s="66">
        <f t="shared" si="3"/>
        <v>39312.000000000007</v>
      </c>
      <c r="L25" s="66">
        <f t="shared" si="3"/>
        <v>53819.999999999993</v>
      </c>
      <c r="M25" s="66">
        <f t="shared" si="3"/>
        <v>54756</v>
      </c>
      <c r="N25" s="66">
        <f t="shared" si="3"/>
        <v>55692</v>
      </c>
      <c r="O25" s="66">
        <f t="shared" si="3"/>
        <v>56160</v>
      </c>
      <c r="P25" s="66">
        <f t="shared" si="3"/>
        <v>56628</v>
      </c>
      <c r="R25" s="177">
        <f t="shared" si="4"/>
        <v>0</v>
      </c>
      <c r="S25" s="177">
        <f t="shared" si="5"/>
        <v>0</v>
      </c>
      <c r="T25" s="177">
        <f t="shared" si="6"/>
        <v>0</v>
      </c>
      <c r="U25" s="177">
        <f t="shared" si="7"/>
        <v>0</v>
      </c>
      <c r="V25" s="177">
        <f t="shared" si="8"/>
        <v>39312.000000000007</v>
      </c>
      <c r="W25" s="177">
        <f t="shared" si="9"/>
        <v>53819.999999999993</v>
      </c>
      <c r="X25" s="177">
        <f t="shared" si="10"/>
        <v>54756</v>
      </c>
      <c r="Y25" s="177">
        <f t="shared" si="11"/>
        <v>55692</v>
      </c>
      <c r="Z25" s="177">
        <f t="shared" si="12"/>
        <v>56160</v>
      </c>
      <c r="AA25" s="177">
        <f t="shared" si="13"/>
        <v>56628</v>
      </c>
    </row>
    <row r="26" spans="3:27" x14ac:dyDescent="0.45">
      <c r="C26" s="71" t="s">
        <v>49</v>
      </c>
      <c r="D26" s="67">
        <v>46813</v>
      </c>
      <c r="E26" s="68">
        <v>3900</v>
      </c>
      <c r="F26" s="69">
        <v>0.4</v>
      </c>
      <c r="G26" s="66">
        <f t="shared" si="3"/>
        <v>0</v>
      </c>
      <c r="H26" s="66">
        <f t="shared" si="3"/>
        <v>0</v>
      </c>
      <c r="I26" s="66">
        <f t="shared" si="3"/>
        <v>0</v>
      </c>
      <c r="J26" s="314">
        <f t="shared" si="3"/>
        <v>0</v>
      </c>
      <c r="K26" s="66">
        <f t="shared" si="3"/>
        <v>0</v>
      </c>
      <c r="L26" s="66">
        <f t="shared" si="3"/>
        <v>0</v>
      </c>
      <c r="M26" s="66">
        <f t="shared" si="3"/>
        <v>0</v>
      </c>
      <c r="N26" s="66">
        <f t="shared" si="3"/>
        <v>41769</v>
      </c>
      <c r="O26" s="66">
        <f t="shared" si="3"/>
        <v>56160</v>
      </c>
      <c r="P26" s="66">
        <f t="shared" si="3"/>
        <v>56628</v>
      </c>
      <c r="R26" s="177">
        <f t="shared" si="4"/>
        <v>0</v>
      </c>
      <c r="S26" s="177">
        <f t="shared" si="5"/>
        <v>0</v>
      </c>
      <c r="T26" s="177">
        <f t="shared" si="6"/>
        <v>0</v>
      </c>
      <c r="U26" s="177">
        <f t="shared" si="7"/>
        <v>0</v>
      </c>
      <c r="V26" s="177">
        <f t="shared" si="8"/>
        <v>0</v>
      </c>
      <c r="W26" s="177">
        <f t="shared" si="9"/>
        <v>0</v>
      </c>
      <c r="X26" s="177">
        <f t="shared" si="10"/>
        <v>0</v>
      </c>
      <c r="Y26" s="177">
        <f t="shared" si="11"/>
        <v>41769</v>
      </c>
      <c r="Z26" s="177">
        <f t="shared" si="12"/>
        <v>56160</v>
      </c>
      <c r="AA26" s="177">
        <f t="shared" si="13"/>
        <v>56628</v>
      </c>
    </row>
    <row r="27" spans="3:27" x14ac:dyDescent="0.45">
      <c r="C27" s="71" t="s">
        <v>51</v>
      </c>
      <c r="D27" s="67">
        <v>44986</v>
      </c>
      <c r="E27" s="68">
        <v>3500</v>
      </c>
      <c r="F27" s="69">
        <v>0.4</v>
      </c>
      <c r="G27" s="66">
        <f t="shared" si="3"/>
        <v>0</v>
      </c>
      <c r="H27" s="66">
        <f t="shared" si="3"/>
        <v>0</v>
      </c>
      <c r="I27" s="66">
        <f t="shared" si="3"/>
        <v>33390</v>
      </c>
      <c r="J27" s="314">
        <f t="shared" si="3"/>
        <v>45780</v>
      </c>
      <c r="K27" s="66">
        <f t="shared" si="3"/>
        <v>47040.000000000007</v>
      </c>
      <c r="L27" s="66">
        <f t="shared" si="3"/>
        <v>48299.999999999993</v>
      </c>
      <c r="M27" s="66">
        <f t="shared" si="3"/>
        <v>49140</v>
      </c>
      <c r="N27" s="66">
        <f t="shared" si="3"/>
        <v>49980</v>
      </c>
      <c r="O27" s="66">
        <f t="shared" si="3"/>
        <v>50400</v>
      </c>
      <c r="P27" s="66">
        <f t="shared" si="3"/>
        <v>50820</v>
      </c>
      <c r="R27" s="177">
        <f t="shared" si="4"/>
        <v>0</v>
      </c>
      <c r="S27" s="177">
        <f t="shared" si="5"/>
        <v>0</v>
      </c>
      <c r="T27" s="177">
        <f t="shared" si="6"/>
        <v>33390</v>
      </c>
      <c r="U27" s="177">
        <f t="shared" si="7"/>
        <v>45780</v>
      </c>
      <c r="V27" s="177">
        <f t="shared" si="8"/>
        <v>47040.000000000007</v>
      </c>
      <c r="W27" s="177">
        <f t="shared" si="9"/>
        <v>48299.999999999993</v>
      </c>
      <c r="X27" s="177">
        <f t="shared" si="10"/>
        <v>49140</v>
      </c>
      <c r="Y27" s="177">
        <f t="shared" si="11"/>
        <v>49980</v>
      </c>
      <c r="Z27" s="177">
        <f t="shared" si="12"/>
        <v>50400</v>
      </c>
      <c r="AA27" s="177">
        <f t="shared" si="13"/>
        <v>50820</v>
      </c>
    </row>
    <row r="28" spans="3:27" x14ac:dyDescent="0.45">
      <c r="C28" s="71" t="s">
        <v>3</v>
      </c>
      <c r="D28" s="67">
        <v>47178</v>
      </c>
      <c r="E28" s="68">
        <v>3000</v>
      </c>
      <c r="F28" s="69">
        <v>0.17</v>
      </c>
      <c r="G28" s="66">
        <f t="shared" si="3"/>
        <v>0</v>
      </c>
      <c r="H28" s="66">
        <f t="shared" si="3"/>
        <v>0</v>
      </c>
      <c r="I28" s="66">
        <f t="shared" si="3"/>
        <v>0</v>
      </c>
      <c r="J28" s="314">
        <f t="shared" si="3"/>
        <v>0</v>
      </c>
      <c r="K28" s="66">
        <f t="shared" si="3"/>
        <v>0</v>
      </c>
      <c r="L28" s="66">
        <f t="shared" si="3"/>
        <v>0</v>
      </c>
      <c r="M28" s="66">
        <f t="shared" si="3"/>
        <v>0</v>
      </c>
      <c r="N28" s="66">
        <f t="shared" si="3"/>
        <v>0</v>
      </c>
      <c r="O28" s="66">
        <f t="shared" si="3"/>
        <v>32400</v>
      </c>
      <c r="P28" s="66">
        <f t="shared" si="3"/>
        <v>43560</v>
      </c>
      <c r="R28" s="177">
        <f t="shared" si="4"/>
        <v>0</v>
      </c>
      <c r="S28" s="177">
        <f t="shared" si="5"/>
        <v>0</v>
      </c>
      <c r="T28" s="177">
        <f t="shared" si="6"/>
        <v>0</v>
      </c>
      <c r="U28" s="177">
        <f t="shared" si="7"/>
        <v>0</v>
      </c>
      <c r="V28" s="177">
        <f t="shared" si="8"/>
        <v>0</v>
      </c>
      <c r="W28" s="177">
        <f t="shared" si="9"/>
        <v>0</v>
      </c>
      <c r="X28" s="177">
        <f t="shared" si="10"/>
        <v>0</v>
      </c>
      <c r="Y28" s="177">
        <f t="shared" si="11"/>
        <v>0</v>
      </c>
      <c r="Z28" s="177">
        <f t="shared" si="12"/>
        <v>0</v>
      </c>
      <c r="AA28" s="177">
        <f t="shared" si="13"/>
        <v>0</v>
      </c>
    </row>
    <row r="29" spans="3:27" x14ac:dyDescent="0.45">
      <c r="C29" s="71" t="s">
        <v>52</v>
      </c>
      <c r="D29" s="67">
        <v>46082</v>
      </c>
      <c r="E29" s="68">
        <v>4300</v>
      </c>
      <c r="F29" s="69">
        <v>0.17</v>
      </c>
      <c r="G29" s="66">
        <f t="shared" si="3"/>
        <v>0</v>
      </c>
      <c r="H29" s="66">
        <f t="shared" si="3"/>
        <v>0</v>
      </c>
      <c r="I29" s="66">
        <f t="shared" si="3"/>
        <v>0</v>
      </c>
      <c r="J29" s="314">
        <f t="shared" si="3"/>
        <v>0</v>
      </c>
      <c r="K29" s="66">
        <f t="shared" si="3"/>
        <v>0</v>
      </c>
      <c r="L29" s="66">
        <f t="shared" si="3"/>
        <v>44505</v>
      </c>
      <c r="M29" s="66">
        <f t="shared" si="3"/>
        <v>60371.999999999993</v>
      </c>
      <c r="N29" s="66">
        <f t="shared" si="3"/>
        <v>61404</v>
      </c>
      <c r="O29" s="66">
        <f t="shared" si="3"/>
        <v>61920</v>
      </c>
      <c r="P29" s="66">
        <f t="shared" si="3"/>
        <v>62436</v>
      </c>
      <c r="R29" s="177">
        <f t="shared" si="4"/>
        <v>0</v>
      </c>
      <c r="S29" s="177">
        <f t="shared" si="5"/>
        <v>0</v>
      </c>
      <c r="T29" s="177">
        <f t="shared" si="6"/>
        <v>0</v>
      </c>
      <c r="U29" s="177">
        <f t="shared" si="7"/>
        <v>0</v>
      </c>
      <c r="V29" s="177">
        <f t="shared" si="8"/>
        <v>0</v>
      </c>
      <c r="W29" s="177">
        <f t="shared" si="9"/>
        <v>0</v>
      </c>
      <c r="X29" s="177">
        <f t="shared" si="10"/>
        <v>0</v>
      </c>
      <c r="Y29" s="177">
        <f t="shared" si="11"/>
        <v>0</v>
      </c>
      <c r="Z29" s="177">
        <f t="shared" si="12"/>
        <v>0</v>
      </c>
      <c r="AA29" s="177">
        <f t="shared" si="13"/>
        <v>0</v>
      </c>
    </row>
    <row r="30" spans="3:27" x14ac:dyDescent="0.45">
      <c r="C30" s="71" t="s">
        <v>53</v>
      </c>
      <c r="D30" s="67">
        <v>46447</v>
      </c>
      <c r="E30" s="68">
        <v>4300</v>
      </c>
      <c r="F30" s="69">
        <v>0.17</v>
      </c>
      <c r="G30" s="66">
        <f t="shared" si="3"/>
        <v>0</v>
      </c>
      <c r="H30" s="66">
        <f t="shared" si="3"/>
        <v>0</v>
      </c>
      <c r="I30" s="66">
        <f t="shared" si="3"/>
        <v>0</v>
      </c>
      <c r="J30" s="314">
        <f t="shared" si="3"/>
        <v>0</v>
      </c>
      <c r="K30" s="66">
        <f t="shared" si="3"/>
        <v>0</v>
      </c>
      <c r="L30" s="66">
        <f t="shared" si="3"/>
        <v>0</v>
      </c>
      <c r="M30" s="66">
        <f t="shared" si="3"/>
        <v>45279</v>
      </c>
      <c r="N30" s="66">
        <f t="shared" si="3"/>
        <v>61404</v>
      </c>
      <c r="O30" s="66">
        <f t="shared" si="3"/>
        <v>61920</v>
      </c>
      <c r="P30" s="66">
        <f t="shared" si="3"/>
        <v>62436</v>
      </c>
      <c r="R30" s="177">
        <f t="shared" si="4"/>
        <v>0</v>
      </c>
      <c r="S30" s="177">
        <f t="shared" si="5"/>
        <v>0</v>
      </c>
      <c r="T30" s="177">
        <f t="shared" si="6"/>
        <v>0</v>
      </c>
      <c r="U30" s="177">
        <f t="shared" si="7"/>
        <v>0</v>
      </c>
      <c r="V30" s="177">
        <f t="shared" si="8"/>
        <v>0</v>
      </c>
      <c r="W30" s="177">
        <f t="shared" si="9"/>
        <v>0</v>
      </c>
      <c r="X30" s="177">
        <f t="shared" si="10"/>
        <v>0</v>
      </c>
      <c r="Y30" s="177">
        <f t="shared" si="11"/>
        <v>0</v>
      </c>
      <c r="Z30" s="177">
        <f t="shared" si="12"/>
        <v>0</v>
      </c>
      <c r="AA30" s="177">
        <f t="shared" si="13"/>
        <v>0</v>
      </c>
    </row>
    <row r="31" spans="3:27" x14ac:dyDescent="0.45">
      <c r="C31" s="71" t="s">
        <v>54</v>
      </c>
      <c r="D31" s="67">
        <v>44986</v>
      </c>
      <c r="E31" s="68">
        <v>3700</v>
      </c>
      <c r="F31" s="69">
        <v>0.17</v>
      </c>
      <c r="G31" s="66">
        <f t="shared" si="3"/>
        <v>0</v>
      </c>
      <c r="H31" s="66">
        <f t="shared" si="3"/>
        <v>0</v>
      </c>
      <c r="I31" s="66">
        <f t="shared" si="3"/>
        <v>35298</v>
      </c>
      <c r="J31" s="314">
        <f t="shared" si="3"/>
        <v>48396</v>
      </c>
      <c r="K31" s="66">
        <f t="shared" si="3"/>
        <v>49728.000000000007</v>
      </c>
      <c r="L31" s="66">
        <f t="shared" si="3"/>
        <v>51059.999999999993</v>
      </c>
      <c r="M31" s="66">
        <f t="shared" si="3"/>
        <v>51948</v>
      </c>
      <c r="N31" s="66">
        <f t="shared" si="3"/>
        <v>52836</v>
      </c>
      <c r="O31" s="66">
        <f t="shared" si="3"/>
        <v>53280</v>
      </c>
      <c r="P31" s="66">
        <f t="shared" si="3"/>
        <v>53724</v>
      </c>
      <c r="R31" s="177">
        <f t="shared" si="4"/>
        <v>0</v>
      </c>
      <c r="S31" s="177">
        <f t="shared" si="5"/>
        <v>0</v>
      </c>
      <c r="T31" s="177">
        <f t="shared" si="6"/>
        <v>0</v>
      </c>
      <c r="U31" s="177">
        <f t="shared" si="7"/>
        <v>0</v>
      </c>
      <c r="V31" s="177">
        <f t="shared" si="8"/>
        <v>0</v>
      </c>
      <c r="W31" s="177">
        <f t="shared" si="9"/>
        <v>0</v>
      </c>
      <c r="X31" s="177">
        <f t="shared" si="10"/>
        <v>0</v>
      </c>
      <c r="Y31" s="177">
        <f t="shared" si="11"/>
        <v>0</v>
      </c>
      <c r="Z31" s="177">
        <f t="shared" si="12"/>
        <v>0</v>
      </c>
      <c r="AA31" s="177">
        <f t="shared" si="13"/>
        <v>0</v>
      </c>
    </row>
    <row r="32" spans="3:27" x14ac:dyDescent="0.45">
      <c r="C32" s="71" t="s">
        <v>55</v>
      </c>
      <c r="D32" s="67">
        <v>47543</v>
      </c>
      <c r="E32" s="68">
        <v>3700</v>
      </c>
      <c r="F32" s="69">
        <v>0.17</v>
      </c>
      <c r="G32" s="66">
        <f t="shared" si="3"/>
        <v>0</v>
      </c>
      <c r="H32" s="66">
        <f t="shared" si="3"/>
        <v>0</v>
      </c>
      <c r="I32" s="66">
        <f t="shared" si="3"/>
        <v>0</v>
      </c>
      <c r="J32" s="314">
        <f t="shared" si="3"/>
        <v>0</v>
      </c>
      <c r="K32" s="66">
        <f t="shared" si="3"/>
        <v>0</v>
      </c>
      <c r="L32" s="66">
        <f t="shared" si="3"/>
        <v>0</v>
      </c>
      <c r="M32" s="66">
        <f t="shared" si="3"/>
        <v>0</v>
      </c>
      <c r="N32" s="66">
        <f t="shared" si="3"/>
        <v>0</v>
      </c>
      <c r="O32" s="66">
        <f t="shared" si="3"/>
        <v>0</v>
      </c>
      <c r="P32" s="66">
        <f t="shared" si="3"/>
        <v>40293</v>
      </c>
      <c r="R32" s="177">
        <f t="shared" si="4"/>
        <v>0</v>
      </c>
      <c r="S32" s="177">
        <f t="shared" si="5"/>
        <v>0</v>
      </c>
      <c r="T32" s="177">
        <f t="shared" si="6"/>
        <v>0</v>
      </c>
      <c r="U32" s="177">
        <f t="shared" si="7"/>
        <v>0</v>
      </c>
      <c r="V32" s="177">
        <f t="shared" si="8"/>
        <v>0</v>
      </c>
      <c r="W32" s="177">
        <f t="shared" si="9"/>
        <v>0</v>
      </c>
      <c r="X32" s="177">
        <f t="shared" si="10"/>
        <v>0</v>
      </c>
      <c r="Y32" s="177">
        <f t="shared" si="11"/>
        <v>0</v>
      </c>
      <c r="Z32" s="177">
        <f t="shared" si="12"/>
        <v>0</v>
      </c>
      <c r="AA32" s="177">
        <f t="shared" si="13"/>
        <v>0</v>
      </c>
    </row>
    <row r="33" spans="3:27" x14ac:dyDescent="0.45">
      <c r="C33" s="71" t="s">
        <v>7</v>
      </c>
      <c r="D33" s="67">
        <v>45717</v>
      </c>
      <c r="E33" s="68">
        <v>3700</v>
      </c>
      <c r="F33" s="69">
        <v>0.17</v>
      </c>
      <c r="G33" s="66">
        <f t="shared" si="3"/>
        <v>0</v>
      </c>
      <c r="H33" s="66">
        <f t="shared" si="3"/>
        <v>0</v>
      </c>
      <c r="I33" s="66">
        <f t="shared" si="3"/>
        <v>0</v>
      </c>
      <c r="J33" s="314">
        <f t="shared" si="3"/>
        <v>0</v>
      </c>
      <c r="K33" s="66">
        <f t="shared" si="3"/>
        <v>37296</v>
      </c>
      <c r="L33" s="66">
        <f t="shared" si="3"/>
        <v>51059.999999999993</v>
      </c>
      <c r="M33" s="66">
        <f t="shared" si="3"/>
        <v>51948</v>
      </c>
      <c r="N33" s="66">
        <f t="shared" si="3"/>
        <v>52836</v>
      </c>
      <c r="O33" s="66">
        <f t="shared" si="3"/>
        <v>53280</v>
      </c>
      <c r="P33" s="66">
        <f t="shared" si="3"/>
        <v>53724</v>
      </c>
      <c r="R33" s="177">
        <f t="shared" si="4"/>
        <v>0</v>
      </c>
      <c r="S33" s="177">
        <f t="shared" si="5"/>
        <v>0</v>
      </c>
      <c r="T33" s="177">
        <f t="shared" si="6"/>
        <v>0</v>
      </c>
      <c r="U33" s="177">
        <f t="shared" si="7"/>
        <v>0</v>
      </c>
      <c r="V33" s="177">
        <f t="shared" si="8"/>
        <v>0</v>
      </c>
      <c r="W33" s="177">
        <f t="shared" si="9"/>
        <v>0</v>
      </c>
      <c r="X33" s="177">
        <f t="shared" si="10"/>
        <v>0</v>
      </c>
      <c r="Y33" s="177">
        <f t="shared" si="11"/>
        <v>0</v>
      </c>
      <c r="Z33" s="177">
        <f t="shared" si="12"/>
        <v>0</v>
      </c>
      <c r="AA33" s="177">
        <f t="shared" si="13"/>
        <v>0</v>
      </c>
    </row>
    <row r="34" spans="3:27" x14ac:dyDescent="0.45">
      <c r="E34" s="334" t="s">
        <v>84</v>
      </c>
      <c r="F34" s="334"/>
      <c r="G34" s="86">
        <f t="shared" ref="G34:P34" si="14">COUNTIF(G5:G33,"&lt;&gt;0")</f>
        <v>6</v>
      </c>
      <c r="H34" s="86">
        <f t="shared" si="14"/>
        <v>12</v>
      </c>
      <c r="I34" s="86">
        <f t="shared" si="14"/>
        <v>18</v>
      </c>
      <c r="J34" s="86">
        <f t="shared" si="14"/>
        <v>19</v>
      </c>
      <c r="K34" s="86">
        <f t="shared" si="14"/>
        <v>23</v>
      </c>
      <c r="L34" s="86">
        <f t="shared" si="14"/>
        <v>24</v>
      </c>
      <c r="M34" s="86">
        <f t="shared" si="14"/>
        <v>26</v>
      </c>
      <c r="N34" s="86">
        <f t="shared" si="14"/>
        <v>27</v>
      </c>
      <c r="O34" s="86">
        <f t="shared" si="14"/>
        <v>28</v>
      </c>
      <c r="P34" s="86">
        <f t="shared" si="14"/>
        <v>29</v>
      </c>
    </row>
    <row r="35" spans="3:27" x14ac:dyDescent="0.45">
      <c r="F35" s="176" t="s">
        <v>178</v>
      </c>
      <c r="G35" s="178">
        <f>COUNTIF(R5:R33,"&lt;&gt;0")</f>
        <v>2</v>
      </c>
      <c r="H35" s="178">
        <f t="shared" ref="H35:P35" si="15">COUNTIF(S5:S33,"&lt;&gt;0")</f>
        <v>4</v>
      </c>
      <c r="I35" s="178">
        <f t="shared" si="15"/>
        <v>6</v>
      </c>
      <c r="J35" s="178">
        <f t="shared" si="15"/>
        <v>6</v>
      </c>
      <c r="K35" s="178">
        <f t="shared" si="15"/>
        <v>8</v>
      </c>
      <c r="L35" s="178">
        <f t="shared" si="15"/>
        <v>8</v>
      </c>
      <c r="M35" s="178">
        <f t="shared" si="15"/>
        <v>9</v>
      </c>
      <c r="N35" s="178">
        <f t="shared" si="15"/>
        <v>10</v>
      </c>
      <c r="O35" s="178">
        <f t="shared" si="15"/>
        <v>10</v>
      </c>
      <c r="P35" s="178">
        <f t="shared" si="15"/>
        <v>10</v>
      </c>
    </row>
    <row r="36" spans="3:27" x14ac:dyDescent="0.45">
      <c r="F36" s="176" t="s">
        <v>179</v>
      </c>
      <c r="G36">
        <f t="shared" ref="G36:P36" si="16">G34-G35</f>
        <v>4</v>
      </c>
      <c r="H36">
        <f t="shared" si="16"/>
        <v>8</v>
      </c>
      <c r="I36">
        <f t="shared" si="16"/>
        <v>12</v>
      </c>
      <c r="J36">
        <f t="shared" si="16"/>
        <v>13</v>
      </c>
      <c r="K36">
        <f t="shared" si="16"/>
        <v>15</v>
      </c>
      <c r="L36">
        <f t="shared" si="16"/>
        <v>16</v>
      </c>
      <c r="M36">
        <f t="shared" si="16"/>
        <v>17</v>
      </c>
      <c r="N36">
        <f t="shared" si="16"/>
        <v>17</v>
      </c>
      <c r="O36">
        <f t="shared" si="16"/>
        <v>18</v>
      </c>
      <c r="P36">
        <f t="shared" si="16"/>
        <v>19</v>
      </c>
    </row>
    <row r="38" spans="3:27" x14ac:dyDescent="0.45">
      <c r="G38" s="1"/>
      <c r="H38" s="1"/>
      <c r="I38" s="1"/>
      <c r="J38" s="1"/>
      <c r="K38" s="1"/>
      <c r="L38" s="1"/>
      <c r="M38" s="1"/>
      <c r="N38" s="1"/>
      <c r="O38" s="1"/>
      <c r="P38" s="1"/>
    </row>
    <row r="40" spans="3:27" x14ac:dyDescent="0.45">
      <c r="H40" t="s">
        <v>273</v>
      </c>
    </row>
    <row r="41" spans="3:27" x14ac:dyDescent="0.45">
      <c r="G41" s="1"/>
      <c r="H41" s="1"/>
      <c r="I41" s="1"/>
      <c r="J41" s="1"/>
      <c r="K41" s="1"/>
      <c r="L41" s="1"/>
    </row>
  </sheetData>
  <sortState xmlns:xlrd2="http://schemas.microsoft.com/office/spreadsheetml/2017/richdata2" ref="C5:F33">
    <sortCondition ref="D5:D33"/>
  </sortState>
  <mergeCells count="3">
    <mergeCell ref="G3:K3"/>
    <mergeCell ref="D2:F2"/>
    <mergeCell ref="E34:F3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592C7-BBD8-4472-91CD-EB197B9FEAE1}">
  <dimension ref="C2:N30"/>
  <sheetViews>
    <sheetView showGridLines="0" workbookViewId="0">
      <selection activeCell="F21" sqref="F21"/>
    </sheetView>
  </sheetViews>
  <sheetFormatPr baseColWidth="10" defaultRowHeight="14.25" x14ac:dyDescent="0.45"/>
  <cols>
    <col min="3" max="3" width="29.06640625" bestFit="1" customWidth="1"/>
    <col min="4" max="4" width="12.33203125" bestFit="1" customWidth="1"/>
    <col min="5" max="7" width="10.86328125" bestFit="1" customWidth="1"/>
    <col min="10" max="10" width="21.265625" bestFit="1" customWidth="1"/>
    <col min="12" max="12" width="10.796875" customWidth="1"/>
  </cols>
  <sheetData>
    <row r="2" spans="3:14" ht="14.65" thickBot="1" x14ac:dyDescent="0.5"/>
    <row r="3" spans="3:14" ht="14.65" thickBot="1" x14ac:dyDescent="0.5">
      <c r="C3" s="284" t="s">
        <v>233</v>
      </c>
      <c r="D3" s="285">
        <f>9/12</f>
        <v>0.75</v>
      </c>
      <c r="E3" s="285">
        <f t="shared" ref="E3:M3" si="0">D3+E4-D4</f>
        <v>1.75</v>
      </c>
      <c r="F3" s="286">
        <f t="shared" si="0"/>
        <v>2.75</v>
      </c>
      <c r="G3" s="286">
        <f t="shared" si="0"/>
        <v>3.75</v>
      </c>
      <c r="H3" s="286">
        <f t="shared" si="0"/>
        <v>4.75</v>
      </c>
      <c r="I3" s="286">
        <f t="shared" si="0"/>
        <v>5.75</v>
      </c>
      <c r="J3" s="286">
        <f t="shared" si="0"/>
        <v>6.75</v>
      </c>
      <c r="K3" s="286">
        <f t="shared" si="0"/>
        <v>7.75</v>
      </c>
      <c r="L3" s="286">
        <f t="shared" si="0"/>
        <v>8.75</v>
      </c>
      <c r="M3" s="286">
        <f t="shared" si="0"/>
        <v>9.75</v>
      </c>
    </row>
    <row r="4" spans="3:14" x14ac:dyDescent="0.45">
      <c r="C4" s="283" t="s">
        <v>64</v>
      </c>
      <c r="D4" s="290">
        <v>2021</v>
      </c>
      <c r="E4" s="290">
        <v>2022</v>
      </c>
      <c r="F4" s="291">
        <v>2023</v>
      </c>
      <c r="G4" s="291">
        <v>2024</v>
      </c>
      <c r="H4" s="291">
        <v>2025</v>
      </c>
      <c r="I4" s="291">
        <v>2026</v>
      </c>
      <c r="J4" s="291">
        <v>2027</v>
      </c>
      <c r="K4" s="291">
        <v>2028</v>
      </c>
      <c r="L4" s="291">
        <v>2029</v>
      </c>
      <c r="M4" s="291">
        <v>2030</v>
      </c>
      <c r="N4" s="288" t="s">
        <v>236</v>
      </c>
    </row>
    <row r="5" spans="3:14" ht="14.65" thickBot="1" x14ac:dyDescent="0.5">
      <c r="C5" s="280" t="s">
        <v>232</v>
      </c>
      <c r="D5" s="264">
        <f>'Flux de trésorerie (p)'!E25</f>
        <v>-350368.01983576681</v>
      </c>
      <c r="E5" s="179">
        <f>'Flux de trésorerie (p)'!F25</f>
        <v>-494791.60468468326</v>
      </c>
      <c r="F5" s="287">
        <f>'Flux de trésorerie (p)'!G25</f>
        <v>-548756.71731828176</v>
      </c>
      <c r="G5" s="287">
        <f>'Flux de trésorerie (p)'!H25</f>
        <v>-31059.582070068398</v>
      </c>
      <c r="H5" s="287">
        <f>'Flux de trésorerie (p)'!I25</f>
        <v>-366054.41893807991</v>
      </c>
      <c r="I5" s="287">
        <f>'Flux de trésorerie (p)'!J25</f>
        <v>32340.479485261429</v>
      </c>
      <c r="J5" s="287">
        <f>'Flux de trésorerie (p)'!K25</f>
        <v>638319.09203566844</v>
      </c>
      <c r="K5" s="287">
        <f>'Flux de trésorerie (p)'!L25</f>
        <v>2148959.4338741219</v>
      </c>
      <c r="L5" s="287">
        <f>'Flux de trésorerie (p)'!M25</f>
        <v>4150079.8140627854</v>
      </c>
      <c r="M5" s="287">
        <f>'Flux de trésorerie (p)'!N25</f>
        <v>4809410.1035099598</v>
      </c>
      <c r="N5" s="289">
        <f>M5*(1+J11)</f>
        <v>4857504.2045450592</v>
      </c>
    </row>
    <row r="6" spans="3:14" ht="14.65" thickBot="1" x14ac:dyDescent="0.5">
      <c r="C6" s="281" t="s">
        <v>237</v>
      </c>
      <c r="D6" s="282">
        <f t="shared" ref="D6:I6" si="1">D5/((1+$J$10)^D3)</f>
        <v>-310057.4075862437</v>
      </c>
      <c r="E6" s="181">
        <f t="shared" si="1"/>
        <v>-372017.62188109336</v>
      </c>
      <c r="F6" s="182">
        <f t="shared" si="1"/>
        <v>-350545.64550311631</v>
      </c>
      <c r="G6" s="182">
        <f t="shared" si="1"/>
        <v>-16857.139158837432</v>
      </c>
      <c r="H6" s="182">
        <f t="shared" si="1"/>
        <v>-168794.17506383237</v>
      </c>
      <c r="I6" s="182">
        <f t="shared" si="1"/>
        <v>12670.151071528942</v>
      </c>
      <c r="J6" s="182">
        <f>J5/((1+$J$10)^J3)</f>
        <v>212469.55588842099</v>
      </c>
      <c r="K6" s="182">
        <f>K5/((1+$J$10)^K3)</f>
        <v>607729.93690353713</v>
      </c>
      <c r="L6" s="182">
        <f>L5/((1+$J$10)^L3)</f>
        <v>997154.37541519094</v>
      </c>
      <c r="M6" s="182">
        <f>M5/((1+$J$10)^M3)</f>
        <v>981796.09110875172</v>
      </c>
      <c r="N6" s="182"/>
    </row>
    <row r="7" spans="3:14" x14ac:dyDescent="0.45">
      <c r="C7" s="268" t="s">
        <v>239</v>
      </c>
      <c r="D7" s="276">
        <f>SUM(D6:M6)</f>
        <v>1593548.1211943063</v>
      </c>
      <c r="E7" s="266"/>
      <c r="F7" s="266"/>
      <c r="G7" s="81"/>
    </row>
    <row r="8" spans="3:14" x14ac:dyDescent="0.45">
      <c r="C8" s="265" t="s">
        <v>238</v>
      </c>
      <c r="D8" s="273">
        <f>N5/(J10-J11)</f>
        <v>29086851.524221916</v>
      </c>
      <c r="E8" s="266"/>
      <c r="F8" s="266"/>
      <c r="G8" s="81"/>
    </row>
    <row r="9" spans="3:14" ht="14.65" thickBot="1" x14ac:dyDescent="0.5">
      <c r="C9" s="267" t="s">
        <v>240</v>
      </c>
      <c r="D9" s="274">
        <f>D8/((1+J10)^M3)</f>
        <v>5937808.6947295768</v>
      </c>
      <c r="E9" s="266"/>
      <c r="F9" s="266"/>
      <c r="G9" s="81"/>
    </row>
    <row r="10" spans="3:14" ht="14.65" thickBot="1" x14ac:dyDescent="0.5">
      <c r="C10" s="269" t="s">
        <v>242</v>
      </c>
      <c r="D10" s="275">
        <f>D7+D9</f>
        <v>7531356.8159238826</v>
      </c>
      <c r="E10" s="266"/>
      <c r="F10" s="266"/>
      <c r="G10" s="81"/>
      <c r="I10" s="330" t="s">
        <v>234</v>
      </c>
      <c r="J10" s="331">
        <v>0.17699999999999999</v>
      </c>
      <c r="K10" t="s">
        <v>272</v>
      </c>
    </row>
    <row r="11" spans="3:14" ht="14.65" thickBot="1" x14ac:dyDescent="0.5">
      <c r="C11" s="268" t="s">
        <v>241</v>
      </c>
      <c r="D11" s="276">
        <f>'Balance Sheet'!H29-'Balance Sheet'!H70</f>
        <v>24737</v>
      </c>
      <c r="E11" s="266"/>
      <c r="F11" s="266"/>
      <c r="G11" s="81"/>
      <c r="I11" s="262" t="s">
        <v>235</v>
      </c>
      <c r="J11" s="263">
        <v>0.01</v>
      </c>
      <c r="K11" s="312"/>
    </row>
    <row r="12" spans="3:14" x14ac:dyDescent="0.45">
      <c r="C12" s="270" t="s">
        <v>244</v>
      </c>
      <c r="D12" s="277">
        <f>D10+D11</f>
        <v>7556093.8159238826</v>
      </c>
      <c r="E12" s="266"/>
      <c r="F12" s="266"/>
      <c r="G12" s="81"/>
    </row>
    <row r="13" spans="3:14" x14ac:dyDescent="0.45">
      <c r="C13" s="271" t="s">
        <v>243</v>
      </c>
      <c r="D13" s="278">
        <f>D12-'Hypothèses de financement'!E5</f>
        <v>6056093.8159238826</v>
      </c>
      <c r="E13" s="266"/>
      <c r="F13" s="266"/>
    </row>
    <row r="14" spans="3:14" ht="14.65" thickBot="1" x14ac:dyDescent="0.5">
      <c r="C14" s="272" t="s">
        <v>245</v>
      </c>
      <c r="D14" s="279">
        <f>'Hypothèses de financement'!E5/'DCF model'!D12</f>
        <v>0.19851526946884462</v>
      </c>
      <c r="E14" s="315"/>
      <c r="F14" s="207"/>
    </row>
    <row r="16" spans="3:14" x14ac:dyDescent="0.45">
      <c r="H16" t="s">
        <v>247</v>
      </c>
    </row>
    <row r="24" spans="4:6" x14ac:dyDescent="0.45">
      <c r="D24" s="297"/>
      <c r="E24" s="297"/>
      <c r="F24" s="297"/>
    </row>
    <row r="25" spans="4:6" x14ac:dyDescent="0.45">
      <c r="D25" s="297"/>
      <c r="E25" s="297"/>
      <c r="F25" s="297"/>
    </row>
    <row r="26" spans="4:6" x14ac:dyDescent="0.45">
      <c r="D26" s="298"/>
      <c r="E26" s="298"/>
      <c r="F26" s="298"/>
    </row>
    <row r="28" spans="4:6" x14ac:dyDescent="0.45">
      <c r="D28" s="261"/>
      <c r="E28" s="261"/>
      <c r="F28" s="261"/>
    </row>
    <row r="30" spans="4:6" x14ac:dyDescent="0.45">
      <c r="D30" s="79"/>
      <c r="E30" s="79"/>
      <c r="F30" s="79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9284C-4161-4F84-A26B-2794C4792BD8}">
  <dimension ref="B2:N489"/>
  <sheetViews>
    <sheetView showGridLines="0" zoomScale="70" zoomScaleNormal="70" workbookViewId="0">
      <selection activeCell="L7" sqref="L7"/>
    </sheetView>
  </sheetViews>
  <sheetFormatPr baseColWidth="10" defaultRowHeight="14.25" outlineLevelCol="1" x14ac:dyDescent="0.45"/>
  <cols>
    <col min="2" max="2" width="10.6640625" customWidth="1" outlineLevel="1"/>
    <col min="3" max="3" width="12.33203125" customWidth="1" outlineLevel="1"/>
    <col min="4" max="4" width="26.53125" customWidth="1" outlineLevel="1"/>
    <col min="5" max="6" width="10.6640625" customWidth="1" outlineLevel="1"/>
    <col min="7" max="7" width="11.33203125" customWidth="1" outlineLevel="1"/>
    <col min="9" max="9" width="10.6640625" customWidth="1" outlineLevel="1"/>
    <col min="10" max="10" width="12.796875" bestFit="1" customWidth="1" outlineLevel="1"/>
    <col min="11" max="11" width="26.53125" customWidth="1" outlineLevel="1"/>
    <col min="12" max="13" width="10.6640625" customWidth="1" outlineLevel="1"/>
    <col min="14" max="14" width="12.796875" bestFit="1" customWidth="1" outlineLevel="1"/>
    <col min="15" max="15" width="12.19921875" bestFit="1" customWidth="1"/>
  </cols>
  <sheetData>
    <row r="2" spans="2:14" ht="14.65" thickBot="1" x14ac:dyDescent="0.5"/>
    <row r="3" spans="2:14" ht="14.65" thickBot="1" x14ac:dyDescent="0.5">
      <c r="B3" s="382" t="s">
        <v>268</v>
      </c>
      <c r="C3" s="383"/>
      <c r="D3" s="383"/>
      <c r="E3" s="383"/>
      <c r="F3" s="383"/>
      <c r="G3" s="384"/>
      <c r="I3" s="382" t="s">
        <v>269</v>
      </c>
      <c r="J3" s="383"/>
      <c r="K3" s="383"/>
      <c r="L3" s="383"/>
      <c r="M3" s="383"/>
      <c r="N3" s="384"/>
    </row>
    <row r="4" spans="2:14" x14ac:dyDescent="0.45">
      <c r="B4" s="212"/>
      <c r="D4" t="s">
        <v>258</v>
      </c>
      <c r="E4" s="301">
        <v>5.0000000000000001E-3</v>
      </c>
      <c r="G4" s="300"/>
      <c r="I4" s="212"/>
      <c r="K4" t="s">
        <v>258</v>
      </c>
      <c r="L4" s="301">
        <v>1E-3</v>
      </c>
      <c r="N4" s="300"/>
    </row>
    <row r="5" spans="2:14" x14ac:dyDescent="0.45">
      <c r="B5" s="212"/>
      <c r="D5" t="s">
        <v>270</v>
      </c>
      <c r="E5" s="302"/>
      <c r="G5" s="300"/>
      <c r="I5" s="212"/>
      <c r="K5" s="313" t="s">
        <v>274</v>
      </c>
      <c r="L5" s="302"/>
      <c r="N5" s="300"/>
    </row>
    <row r="6" spans="2:14" x14ac:dyDescent="0.45">
      <c r="B6" s="212"/>
      <c r="D6" t="s">
        <v>259</v>
      </c>
      <c r="E6" s="302">
        <v>44287</v>
      </c>
      <c r="G6" s="300"/>
      <c r="I6" s="212"/>
      <c r="K6" t="s">
        <v>259</v>
      </c>
      <c r="L6" s="302">
        <v>45292</v>
      </c>
      <c r="N6" s="300"/>
    </row>
    <row r="7" spans="2:14" x14ac:dyDescent="0.45">
      <c r="B7" s="212"/>
      <c r="D7" t="s">
        <v>260</v>
      </c>
      <c r="E7">
        <v>60</v>
      </c>
      <c r="G7" s="300"/>
      <c r="I7" s="212"/>
      <c r="K7" t="s">
        <v>260</v>
      </c>
      <c r="L7">
        <v>60</v>
      </c>
      <c r="N7" s="300"/>
    </row>
    <row r="8" spans="2:14" x14ac:dyDescent="0.45">
      <c r="B8" s="212"/>
      <c r="D8" t="s">
        <v>261</v>
      </c>
      <c r="E8" s="266">
        <v>500000</v>
      </c>
      <c r="G8" s="300"/>
      <c r="I8" s="212"/>
      <c r="K8" t="s">
        <v>261</v>
      </c>
      <c r="L8" s="266">
        <v>500000</v>
      </c>
      <c r="N8" s="300"/>
    </row>
    <row r="9" spans="2:14" ht="14.65" thickBot="1" x14ac:dyDescent="0.5">
      <c r="B9" s="214"/>
      <c r="C9" s="304"/>
      <c r="D9" s="304"/>
      <c r="E9" s="304"/>
      <c r="F9" s="304"/>
      <c r="G9" s="305"/>
      <c r="I9" s="214"/>
      <c r="J9" s="304"/>
      <c r="K9" s="304"/>
      <c r="L9" s="304"/>
      <c r="M9" s="304"/>
      <c r="N9" s="305"/>
    </row>
    <row r="10" spans="2:14" x14ac:dyDescent="0.45">
      <c r="B10" s="212" t="s">
        <v>262</v>
      </c>
      <c r="C10" t="s">
        <v>263</v>
      </c>
      <c r="D10" t="s">
        <v>264</v>
      </c>
      <c r="E10" t="s">
        <v>265</v>
      </c>
      <c r="F10" t="s">
        <v>266</v>
      </c>
      <c r="G10" s="300" t="s">
        <v>267</v>
      </c>
      <c r="I10" s="212" t="s">
        <v>262</v>
      </c>
      <c r="J10" t="s">
        <v>263</v>
      </c>
      <c r="K10" t="s">
        <v>264</v>
      </c>
      <c r="L10" t="s">
        <v>265</v>
      </c>
      <c r="M10" t="s">
        <v>266</v>
      </c>
      <c r="N10" s="300" t="s">
        <v>267</v>
      </c>
    </row>
    <row r="11" spans="2:14" x14ac:dyDescent="0.45">
      <c r="B11" s="306">
        <f>E6</f>
        <v>44287</v>
      </c>
      <c r="C11" s="303">
        <f>E8</f>
        <v>500000</v>
      </c>
      <c r="D11" s="303">
        <f>IF(ROUNDDOWN(C11,0)=0,0,PMT($E$4/12,$E$7,-$E$8)+$E$5)</f>
        <v>8439.6699234351527</v>
      </c>
      <c r="E11" s="303">
        <f>IF(ROUNDDOWN(C11,0)=0,0,(C11*$E$4/12)+$E$5)</f>
        <v>208.33333333333334</v>
      </c>
      <c r="F11" s="303">
        <f>D11-E11</f>
        <v>8231.3365901018187</v>
      </c>
      <c r="G11" s="307">
        <f>C11-F11</f>
        <v>491768.66340989817</v>
      </c>
      <c r="I11" s="306">
        <f>L6</f>
        <v>45292</v>
      </c>
      <c r="J11" s="303">
        <f>L8</f>
        <v>500000</v>
      </c>
      <c r="K11" s="303">
        <f>IF(ROUNDDOWN(J11,0)=0,0,PMT($L$4/12,$L$7,-$L$8)+$L$5)</f>
        <v>8354.5312444470965</v>
      </c>
      <c r="L11" s="303">
        <f>IF(ROUNDDOWN(J11,0)=0,0,(J11*$L$4/12)+$L$5)</f>
        <v>41.666666666666664</v>
      </c>
      <c r="M11" s="303">
        <f>K11-L11</f>
        <v>8312.8645777804304</v>
      </c>
      <c r="N11" s="307">
        <f>J11-M11</f>
        <v>491687.13542221958</v>
      </c>
    </row>
    <row r="12" spans="2:14" x14ac:dyDescent="0.45">
      <c r="B12" s="306">
        <f>EDATE(B11,1)</f>
        <v>44317</v>
      </c>
      <c r="C12" s="303">
        <f>G11</f>
        <v>491768.66340989817</v>
      </c>
      <c r="D12" s="303">
        <f t="shared" ref="D12:D75" si="0">IF(ROUNDDOWN(C12,0)=0,0,PMT($E$4/12,$E$7,-$E$8)+$E$5)</f>
        <v>8439.6699234351527</v>
      </c>
      <c r="E12" s="303">
        <f t="shared" ref="E12:E75" si="1">IF(ROUNDDOWN(C12,0)=0,0,(C12*$E$4/12)+$E$5)</f>
        <v>204.90360975412423</v>
      </c>
      <c r="F12" s="303">
        <f t="shared" ref="F12:F75" si="2">D12-E12</f>
        <v>8234.7663136810279</v>
      </c>
      <c r="G12" s="307">
        <f t="shared" ref="G12:G75" si="3">C12-F12</f>
        <v>483533.89709621714</v>
      </c>
      <c r="I12" s="306">
        <f>EDATE(I11,1)</f>
        <v>45323</v>
      </c>
      <c r="J12" s="303">
        <f>N11</f>
        <v>491687.13542221958</v>
      </c>
      <c r="K12" s="303">
        <f t="shared" ref="K12:K75" si="4">IF(ROUNDDOWN(J12,0)=0,0,PMT($L$4/12,$L$7,-$L$8)+$L$5)</f>
        <v>8354.5312444470965</v>
      </c>
      <c r="L12" s="303">
        <f t="shared" ref="L12:L75" si="5">IF(ROUNDDOWN(J12,0)=0,0,(J12*$L$4/12)+$L$5)</f>
        <v>40.973927951851628</v>
      </c>
      <c r="M12" s="303">
        <f t="shared" ref="M12:M75" si="6">K12-L12</f>
        <v>8313.5573164952457</v>
      </c>
      <c r="N12" s="307">
        <f t="shared" ref="N12:N75" si="7">J12-M12</f>
        <v>483373.57810572436</v>
      </c>
    </row>
    <row r="13" spans="2:14" x14ac:dyDescent="0.45">
      <c r="B13" s="306">
        <f t="shared" ref="B13:B76" si="8">EDATE(B12,1)</f>
        <v>44348</v>
      </c>
      <c r="C13" s="303">
        <f t="shared" ref="C13:C76" si="9">G12</f>
        <v>483533.89709621714</v>
      </c>
      <c r="D13" s="303">
        <f t="shared" si="0"/>
        <v>8439.6699234351527</v>
      </c>
      <c r="E13" s="303">
        <f t="shared" si="1"/>
        <v>201.47245712342382</v>
      </c>
      <c r="F13" s="303">
        <f t="shared" si="2"/>
        <v>8238.1974663117289</v>
      </c>
      <c r="G13" s="307">
        <f t="shared" si="3"/>
        <v>475295.6996299054</v>
      </c>
      <c r="I13" s="306">
        <f t="shared" ref="I13:I76" si="10">EDATE(I12,1)</f>
        <v>45352</v>
      </c>
      <c r="J13" s="303">
        <f t="shared" ref="J13:J76" si="11">N12</f>
        <v>483373.57810572436</v>
      </c>
      <c r="K13" s="303">
        <f t="shared" si="4"/>
        <v>8354.5312444470965</v>
      </c>
      <c r="L13" s="303">
        <f t="shared" si="5"/>
        <v>40.281131508810368</v>
      </c>
      <c r="M13" s="303">
        <f t="shared" si="6"/>
        <v>8314.2501129382854</v>
      </c>
      <c r="N13" s="307">
        <f t="shared" si="7"/>
        <v>475059.32799278607</v>
      </c>
    </row>
    <row r="14" spans="2:14" x14ac:dyDescent="0.45">
      <c r="B14" s="306">
        <f t="shared" si="8"/>
        <v>44378</v>
      </c>
      <c r="C14" s="303">
        <f t="shared" si="9"/>
        <v>475295.6996299054</v>
      </c>
      <c r="D14" s="303">
        <f t="shared" si="0"/>
        <v>8439.6699234351527</v>
      </c>
      <c r="E14" s="303">
        <f t="shared" si="1"/>
        <v>198.03987484579395</v>
      </c>
      <c r="F14" s="303">
        <f t="shared" si="2"/>
        <v>8241.6300485893589</v>
      </c>
      <c r="G14" s="307">
        <f t="shared" si="3"/>
        <v>467054.06958131603</v>
      </c>
      <c r="I14" s="306">
        <f t="shared" si="10"/>
        <v>45383</v>
      </c>
      <c r="J14" s="303">
        <f t="shared" si="11"/>
        <v>475059.32799278607</v>
      </c>
      <c r="K14" s="303">
        <f t="shared" si="4"/>
        <v>8354.5312444470965</v>
      </c>
      <c r="L14" s="303">
        <f t="shared" si="5"/>
        <v>39.588277332732176</v>
      </c>
      <c r="M14" s="303">
        <f t="shared" si="6"/>
        <v>8314.9429671143644</v>
      </c>
      <c r="N14" s="307">
        <f t="shared" si="7"/>
        <v>466744.38502567168</v>
      </c>
    </row>
    <row r="15" spans="2:14" x14ac:dyDescent="0.45">
      <c r="B15" s="306">
        <f t="shared" si="8"/>
        <v>44409</v>
      </c>
      <c r="C15" s="303">
        <f t="shared" si="9"/>
        <v>467054.06958131603</v>
      </c>
      <c r="D15" s="303">
        <f t="shared" si="0"/>
        <v>8439.6699234351527</v>
      </c>
      <c r="E15" s="303">
        <f t="shared" si="1"/>
        <v>194.60586232554837</v>
      </c>
      <c r="F15" s="303">
        <f t="shared" si="2"/>
        <v>8245.0640611096042</v>
      </c>
      <c r="G15" s="307">
        <f t="shared" si="3"/>
        <v>458809.00552020641</v>
      </c>
      <c r="I15" s="306">
        <f t="shared" si="10"/>
        <v>45413</v>
      </c>
      <c r="J15" s="303">
        <f t="shared" si="11"/>
        <v>466744.38502567168</v>
      </c>
      <c r="K15" s="303">
        <f t="shared" si="4"/>
        <v>8354.5312444470965</v>
      </c>
      <c r="L15" s="303">
        <f t="shared" si="5"/>
        <v>38.895365418805973</v>
      </c>
      <c r="M15" s="303">
        <f t="shared" si="6"/>
        <v>8315.6358790282902</v>
      </c>
      <c r="N15" s="307">
        <f t="shared" si="7"/>
        <v>458428.74914664339</v>
      </c>
    </row>
    <row r="16" spans="2:14" x14ac:dyDescent="0.45">
      <c r="B16" s="306">
        <f t="shared" si="8"/>
        <v>44440</v>
      </c>
      <c r="C16" s="303">
        <f t="shared" si="9"/>
        <v>458809.00552020641</v>
      </c>
      <c r="D16" s="303">
        <f t="shared" si="0"/>
        <v>8439.6699234351527</v>
      </c>
      <c r="E16" s="303">
        <f t="shared" si="1"/>
        <v>191.17041896675266</v>
      </c>
      <c r="F16" s="303">
        <f t="shared" si="2"/>
        <v>8248.4995044684001</v>
      </c>
      <c r="G16" s="307">
        <f t="shared" si="3"/>
        <v>450560.50601573801</v>
      </c>
      <c r="I16" s="306">
        <f t="shared" si="10"/>
        <v>45444</v>
      </c>
      <c r="J16" s="303">
        <f t="shared" si="11"/>
        <v>458428.74914664339</v>
      </c>
      <c r="K16" s="303">
        <f t="shared" si="4"/>
        <v>8354.5312444470965</v>
      </c>
      <c r="L16" s="303">
        <f t="shared" si="5"/>
        <v>38.202395762220284</v>
      </c>
      <c r="M16" s="303">
        <f t="shared" si="6"/>
        <v>8316.328848684876</v>
      </c>
      <c r="N16" s="307">
        <f t="shared" si="7"/>
        <v>450112.42029795854</v>
      </c>
    </row>
    <row r="17" spans="2:14" x14ac:dyDescent="0.45">
      <c r="B17" s="306">
        <f t="shared" si="8"/>
        <v>44470</v>
      </c>
      <c r="C17" s="303">
        <f t="shared" si="9"/>
        <v>450560.50601573801</v>
      </c>
      <c r="D17" s="303">
        <f t="shared" si="0"/>
        <v>8439.6699234351527</v>
      </c>
      <c r="E17" s="303">
        <f t="shared" si="1"/>
        <v>187.73354417322415</v>
      </c>
      <c r="F17" s="303">
        <f t="shared" si="2"/>
        <v>8251.9363792619279</v>
      </c>
      <c r="G17" s="307">
        <f t="shared" si="3"/>
        <v>442308.56963647605</v>
      </c>
      <c r="I17" s="306">
        <f t="shared" si="10"/>
        <v>45474</v>
      </c>
      <c r="J17" s="303">
        <f t="shared" si="11"/>
        <v>450112.42029795854</v>
      </c>
      <c r="K17" s="303">
        <f t="shared" si="4"/>
        <v>8354.5312444470965</v>
      </c>
      <c r="L17" s="303">
        <f t="shared" si="5"/>
        <v>37.509368358163208</v>
      </c>
      <c r="M17" s="303">
        <f t="shared" si="6"/>
        <v>8317.0218760889329</v>
      </c>
      <c r="N17" s="307">
        <f t="shared" si="7"/>
        <v>441795.39842186961</v>
      </c>
    </row>
    <row r="18" spans="2:14" x14ac:dyDescent="0.45">
      <c r="B18" s="306">
        <f t="shared" si="8"/>
        <v>44501</v>
      </c>
      <c r="C18" s="303">
        <f t="shared" si="9"/>
        <v>442308.56963647605</v>
      </c>
      <c r="D18" s="303">
        <f t="shared" si="0"/>
        <v>8439.6699234351527</v>
      </c>
      <c r="E18" s="303">
        <f t="shared" si="1"/>
        <v>184.29523734853169</v>
      </c>
      <c r="F18" s="303">
        <f t="shared" si="2"/>
        <v>8255.3746860866213</v>
      </c>
      <c r="G18" s="307">
        <f t="shared" si="3"/>
        <v>434053.19495038944</v>
      </c>
      <c r="I18" s="306">
        <f t="shared" si="10"/>
        <v>45505</v>
      </c>
      <c r="J18" s="303">
        <f t="shared" si="11"/>
        <v>441795.39842186961</v>
      </c>
      <c r="K18" s="303">
        <f t="shared" si="4"/>
        <v>8354.5312444470965</v>
      </c>
      <c r="L18" s="303">
        <f t="shared" si="5"/>
        <v>36.816283201822465</v>
      </c>
      <c r="M18" s="303">
        <f t="shared" si="6"/>
        <v>8317.714961245274</v>
      </c>
      <c r="N18" s="307">
        <f t="shared" si="7"/>
        <v>433477.68346062436</v>
      </c>
    </row>
    <row r="19" spans="2:14" x14ac:dyDescent="0.45">
      <c r="B19" s="306">
        <f t="shared" si="8"/>
        <v>44531</v>
      </c>
      <c r="C19" s="303">
        <f t="shared" si="9"/>
        <v>434053.19495038944</v>
      </c>
      <c r="D19" s="303">
        <f t="shared" si="0"/>
        <v>8439.6699234351527</v>
      </c>
      <c r="E19" s="303">
        <f t="shared" si="1"/>
        <v>180.85549789599563</v>
      </c>
      <c r="F19" s="303">
        <f t="shared" si="2"/>
        <v>8258.8144255391562</v>
      </c>
      <c r="G19" s="307">
        <f t="shared" si="3"/>
        <v>425794.38052485028</v>
      </c>
      <c r="I19" s="306">
        <f t="shared" si="10"/>
        <v>45536</v>
      </c>
      <c r="J19" s="303">
        <f t="shared" si="11"/>
        <v>433477.68346062436</v>
      </c>
      <c r="K19" s="303">
        <f t="shared" si="4"/>
        <v>8354.5312444470965</v>
      </c>
      <c r="L19" s="303">
        <f t="shared" si="5"/>
        <v>36.123140288385365</v>
      </c>
      <c r="M19" s="303">
        <f t="shared" si="6"/>
        <v>8318.4081041587106</v>
      </c>
      <c r="N19" s="307">
        <f t="shared" si="7"/>
        <v>425159.27535646566</v>
      </c>
    </row>
    <row r="20" spans="2:14" x14ac:dyDescent="0.45">
      <c r="B20" s="306">
        <f t="shared" si="8"/>
        <v>44562</v>
      </c>
      <c r="C20" s="303">
        <f t="shared" si="9"/>
        <v>425794.38052485028</v>
      </c>
      <c r="D20" s="303">
        <f t="shared" si="0"/>
        <v>8439.6699234351527</v>
      </c>
      <c r="E20" s="303">
        <f t="shared" si="1"/>
        <v>177.41432521868762</v>
      </c>
      <c r="F20" s="303">
        <f t="shared" si="2"/>
        <v>8262.2555982164649</v>
      </c>
      <c r="G20" s="307">
        <f t="shared" si="3"/>
        <v>417532.12492663378</v>
      </c>
      <c r="I20" s="306">
        <f t="shared" si="10"/>
        <v>45566</v>
      </c>
      <c r="J20" s="303">
        <f t="shared" si="11"/>
        <v>425159.27535646566</v>
      </c>
      <c r="K20" s="303">
        <f t="shared" si="4"/>
        <v>8354.5312444470965</v>
      </c>
      <c r="L20" s="303">
        <f t="shared" si="5"/>
        <v>35.429939613038805</v>
      </c>
      <c r="M20" s="303">
        <f t="shared" si="6"/>
        <v>8319.1013048340574</v>
      </c>
      <c r="N20" s="307">
        <f t="shared" si="7"/>
        <v>416840.17405163159</v>
      </c>
    </row>
    <row r="21" spans="2:14" x14ac:dyDescent="0.45">
      <c r="B21" s="306">
        <f t="shared" si="8"/>
        <v>44593</v>
      </c>
      <c r="C21" s="303">
        <f t="shared" si="9"/>
        <v>417532.12492663378</v>
      </c>
      <c r="D21" s="303">
        <f t="shared" si="0"/>
        <v>8439.6699234351527</v>
      </c>
      <c r="E21" s="303">
        <f t="shared" si="1"/>
        <v>173.97171871943075</v>
      </c>
      <c r="F21" s="303">
        <f t="shared" si="2"/>
        <v>8265.6982047157217</v>
      </c>
      <c r="G21" s="307">
        <f t="shared" si="3"/>
        <v>409266.42672191805</v>
      </c>
      <c r="I21" s="306">
        <f t="shared" si="10"/>
        <v>45597</v>
      </c>
      <c r="J21" s="303">
        <f t="shared" si="11"/>
        <v>416840.17405163159</v>
      </c>
      <c r="K21" s="303">
        <f t="shared" si="4"/>
        <v>8354.5312444470965</v>
      </c>
      <c r="L21" s="303">
        <f t="shared" si="5"/>
        <v>34.736681170969298</v>
      </c>
      <c r="M21" s="303">
        <f t="shared" si="6"/>
        <v>8319.7945632761275</v>
      </c>
      <c r="N21" s="307">
        <f t="shared" si="7"/>
        <v>408520.37948835548</v>
      </c>
    </row>
    <row r="22" spans="2:14" x14ac:dyDescent="0.45">
      <c r="B22" s="306">
        <f t="shared" si="8"/>
        <v>44621</v>
      </c>
      <c r="C22" s="303">
        <f t="shared" si="9"/>
        <v>409266.42672191805</v>
      </c>
      <c r="D22" s="303">
        <f t="shared" si="0"/>
        <v>8439.6699234351527</v>
      </c>
      <c r="E22" s="303">
        <f t="shared" si="1"/>
        <v>170.52767780079918</v>
      </c>
      <c r="F22" s="303">
        <f t="shared" si="2"/>
        <v>8269.1422456343535</v>
      </c>
      <c r="G22" s="307">
        <f t="shared" si="3"/>
        <v>400997.2844762837</v>
      </c>
      <c r="I22" s="306">
        <f t="shared" si="10"/>
        <v>45627</v>
      </c>
      <c r="J22" s="303">
        <f t="shared" si="11"/>
        <v>408520.37948835548</v>
      </c>
      <c r="K22" s="303">
        <f t="shared" si="4"/>
        <v>8354.5312444470965</v>
      </c>
      <c r="L22" s="303">
        <f t="shared" si="5"/>
        <v>34.043364957362961</v>
      </c>
      <c r="M22" s="303">
        <f t="shared" si="6"/>
        <v>8320.487879489734</v>
      </c>
      <c r="N22" s="307">
        <f t="shared" si="7"/>
        <v>400199.89160886576</v>
      </c>
    </row>
    <row r="23" spans="2:14" x14ac:dyDescent="0.45">
      <c r="B23" s="306">
        <f t="shared" si="8"/>
        <v>44652</v>
      </c>
      <c r="C23" s="303">
        <f t="shared" si="9"/>
        <v>400997.2844762837</v>
      </c>
      <c r="D23" s="303">
        <f t="shared" si="0"/>
        <v>8439.6699234351527</v>
      </c>
      <c r="E23" s="303">
        <f t="shared" si="1"/>
        <v>167.08220186511821</v>
      </c>
      <c r="F23" s="303">
        <f t="shared" si="2"/>
        <v>8272.5877215700348</v>
      </c>
      <c r="G23" s="307">
        <f t="shared" si="3"/>
        <v>392724.69675471366</v>
      </c>
      <c r="I23" s="306">
        <f t="shared" si="10"/>
        <v>45658</v>
      </c>
      <c r="J23" s="303">
        <f t="shared" si="11"/>
        <v>400199.89160886576</v>
      </c>
      <c r="K23" s="303">
        <f t="shared" si="4"/>
        <v>8354.5312444470965</v>
      </c>
      <c r="L23" s="303">
        <f t="shared" si="5"/>
        <v>33.349990967405482</v>
      </c>
      <c r="M23" s="303">
        <f t="shared" si="6"/>
        <v>8321.1812534796918</v>
      </c>
      <c r="N23" s="307">
        <f t="shared" si="7"/>
        <v>391878.71035538608</v>
      </c>
    </row>
    <row r="24" spans="2:14" x14ac:dyDescent="0.45">
      <c r="B24" s="306">
        <f t="shared" si="8"/>
        <v>44682</v>
      </c>
      <c r="C24" s="303">
        <f t="shared" si="9"/>
        <v>392724.69675471366</v>
      </c>
      <c r="D24" s="303">
        <f t="shared" si="0"/>
        <v>8439.6699234351527</v>
      </c>
      <c r="E24" s="303">
        <f t="shared" si="1"/>
        <v>163.63529031446402</v>
      </c>
      <c r="F24" s="303">
        <f t="shared" si="2"/>
        <v>8276.0346331206893</v>
      </c>
      <c r="G24" s="307">
        <f t="shared" si="3"/>
        <v>384448.66212159296</v>
      </c>
      <c r="I24" s="306">
        <f t="shared" si="10"/>
        <v>45689</v>
      </c>
      <c r="J24" s="303">
        <f t="shared" si="11"/>
        <v>391878.71035538608</v>
      </c>
      <c r="K24" s="303">
        <f t="shared" si="4"/>
        <v>8354.5312444470965</v>
      </c>
      <c r="L24" s="303">
        <f t="shared" si="5"/>
        <v>32.656559196282174</v>
      </c>
      <c r="M24" s="303">
        <f t="shared" si="6"/>
        <v>8321.8746852508139</v>
      </c>
      <c r="N24" s="307">
        <f t="shared" si="7"/>
        <v>383556.83567013527</v>
      </c>
    </row>
    <row r="25" spans="2:14" x14ac:dyDescent="0.45">
      <c r="B25" s="306">
        <f t="shared" si="8"/>
        <v>44713</v>
      </c>
      <c r="C25" s="303">
        <f t="shared" si="9"/>
        <v>384448.66212159296</v>
      </c>
      <c r="D25" s="303">
        <f t="shared" si="0"/>
        <v>8439.6699234351527</v>
      </c>
      <c r="E25" s="303">
        <f t="shared" si="1"/>
        <v>160.18694255066373</v>
      </c>
      <c r="F25" s="303">
        <f t="shared" si="2"/>
        <v>8279.4829808844897</v>
      </c>
      <c r="G25" s="307">
        <f t="shared" si="3"/>
        <v>376169.17914070847</v>
      </c>
      <c r="I25" s="306">
        <f t="shared" si="10"/>
        <v>45717</v>
      </c>
      <c r="J25" s="303">
        <f t="shared" si="11"/>
        <v>383556.83567013527</v>
      </c>
      <c r="K25" s="303">
        <f t="shared" si="4"/>
        <v>8354.5312444470965</v>
      </c>
      <c r="L25" s="303">
        <f t="shared" si="5"/>
        <v>31.963069639177942</v>
      </c>
      <c r="M25" s="303">
        <f t="shared" si="6"/>
        <v>8322.5681748079187</v>
      </c>
      <c r="N25" s="307">
        <f t="shared" si="7"/>
        <v>375234.26749532734</v>
      </c>
    </row>
    <row r="26" spans="2:14" x14ac:dyDescent="0.45">
      <c r="B26" s="306">
        <f t="shared" si="8"/>
        <v>44743</v>
      </c>
      <c r="C26" s="303">
        <f t="shared" si="9"/>
        <v>376169.17914070847</v>
      </c>
      <c r="D26" s="303">
        <f t="shared" si="0"/>
        <v>8439.6699234351527</v>
      </c>
      <c r="E26" s="303">
        <f t="shared" si="1"/>
        <v>156.73715797529519</v>
      </c>
      <c r="F26" s="303">
        <f t="shared" si="2"/>
        <v>8282.9327654598583</v>
      </c>
      <c r="G26" s="307">
        <f t="shared" si="3"/>
        <v>367886.24637524859</v>
      </c>
      <c r="I26" s="306">
        <f t="shared" si="10"/>
        <v>45748</v>
      </c>
      <c r="J26" s="303">
        <f t="shared" si="11"/>
        <v>375234.26749532734</v>
      </c>
      <c r="K26" s="303">
        <f t="shared" si="4"/>
        <v>8354.5312444470965</v>
      </c>
      <c r="L26" s="303">
        <f t="shared" si="5"/>
        <v>31.26952229127728</v>
      </c>
      <c r="M26" s="303">
        <f t="shared" si="6"/>
        <v>8323.2617221558194</v>
      </c>
      <c r="N26" s="307">
        <f t="shared" si="7"/>
        <v>366911.00577317149</v>
      </c>
    </row>
    <row r="27" spans="2:14" x14ac:dyDescent="0.45">
      <c r="B27" s="306">
        <f t="shared" si="8"/>
        <v>44774</v>
      </c>
      <c r="C27" s="303">
        <f t="shared" si="9"/>
        <v>367886.24637524859</v>
      </c>
      <c r="D27" s="303">
        <f t="shared" si="0"/>
        <v>8439.6699234351527</v>
      </c>
      <c r="E27" s="303">
        <f t="shared" si="1"/>
        <v>153.28593598968692</v>
      </c>
      <c r="F27" s="303">
        <f t="shared" si="2"/>
        <v>8286.3839874454661</v>
      </c>
      <c r="G27" s="307">
        <f t="shared" si="3"/>
        <v>359599.86238780315</v>
      </c>
      <c r="I27" s="306">
        <f t="shared" si="10"/>
        <v>45778</v>
      </c>
      <c r="J27" s="303">
        <f t="shared" si="11"/>
        <v>366911.00577317149</v>
      </c>
      <c r="K27" s="303">
        <f t="shared" si="4"/>
        <v>8354.5312444470965</v>
      </c>
      <c r="L27" s="303">
        <f t="shared" si="5"/>
        <v>30.57591714776429</v>
      </c>
      <c r="M27" s="303">
        <f t="shared" si="6"/>
        <v>8323.9553272993326</v>
      </c>
      <c r="N27" s="307">
        <f t="shared" si="7"/>
        <v>358587.05044587218</v>
      </c>
    </row>
    <row r="28" spans="2:14" x14ac:dyDescent="0.45">
      <c r="B28" s="306">
        <f t="shared" si="8"/>
        <v>44805</v>
      </c>
      <c r="C28" s="303">
        <f t="shared" si="9"/>
        <v>359599.86238780315</v>
      </c>
      <c r="D28" s="303">
        <f t="shared" si="0"/>
        <v>8439.6699234351527</v>
      </c>
      <c r="E28" s="303">
        <f t="shared" si="1"/>
        <v>149.83327599491798</v>
      </c>
      <c r="F28" s="303">
        <f t="shared" si="2"/>
        <v>8289.8366474402355</v>
      </c>
      <c r="G28" s="307">
        <f t="shared" si="3"/>
        <v>351310.02574036294</v>
      </c>
      <c r="I28" s="306">
        <f t="shared" si="10"/>
        <v>45809</v>
      </c>
      <c r="J28" s="303">
        <f t="shared" si="11"/>
        <v>358587.05044587218</v>
      </c>
      <c r="K28" s="303">
        <f t="shared" si="4"/>
        <v>8354.5312444470965</v>
      </c>
      <c r="L28" s="303">
        <f t="shared" si="5"/>
        <v>29.882254203822683</v>
      </c>
      <c r="M28" s="303">
        <f t="shared" si="6"/>
        <v>8324.6489902432731</v>
      </c>
      <c r="N28" s="307">
        <f t="shared" si="7"/>
        <v>350262.40145562892</v>
      </c>
    </row>
    <row r="29" spans="2:14" x14ac:dyDescent="0.45">
      <c r="B29" s="306">
        <f t="shared" si="8"/>
        <v>44835</v>
      </c>
      <c r="C29" s="303">
        <f t="shared" si="9"/>
        <v>351310.02574036294</v>
      </c>
      <c r="D29" s="303">
        <f t="shared" si="0"/>
        <v>8439.6699234351527</v>
      </c>
      <c r="E29" s="303">
        <f t="shared" si="1"/>
        <v>146.37917739181788</v>
      </c>
      <c r="F29" s="303">
        <f t="shared" si="2"/>
        <v>8293.2907460433344</v>
      </c>
      <c r="G29" s="307">
        <f t="shared" si="3"/>
        <v>343016.73499431962</v>
      </c>
      <c r="I29" s="306">
        <f t="shared" si="10"/>
        <v>45839</v>
      </c>
      <c r="J29" s="303">
        <f t="shared" si="11"/>
        <v>350262.40145562892</v>
      </c>
      <c r="K29" s="303">
        <f t="shared" si="4"/>
        <v>8354.5312444470965</v>
      </c>
      <c r="L29" s="303">
        <f t="shared" si="5"/>
        <v>29.188533454635746</v>
      </c>
      <c r="M29" s="303">
        <f t="shared" si="6"/>
        <v>8325.3427109924614</v>
      </c>
      <c r="N29" s="307">
        <f t="shared" si="7"/>
        <v>341937.05874463648</v>
      </c>
    </row>
    <row r="30" spans="2:14" x14ac:dyDescent="0.45">
      <c r="B30" s="306">
        <f t="shared" si="8"/>
        <v>44866</v>
      </c>
      <c r="C30" s="303">
        <f t="shared" si="9"/>
        <v>343016.73499431962</v>
      </c>
      <c r="D30" s="303">
        <f t="shared" si="0"/>
        <v>8439.6699234351527</v>
      </c>
      <c r="E30" s="303">
        <f t="shared" si="1"/>
        <v>142.92363958096652</v>
      </c>
      <c r="F30" s="303">
        <f t="shared" si="2"/>
        <v>8296.7462838541869</v>
      </c>
      <c r="G30" s="307">
        <f t="shared" si="3"/>
        <v>334719.98871046543</v>
      </c>
      <c r="I30" s="306">
        <f t="shared" si="10"/>
        <v>45870</v>
      </c>
      <c r="J30" s="303">
        <f t="shared" si="11"/>
        <v>341937.05874463648</v>
      </c>
      <c r="K30" s="303">
        <f t="shared" si="4"/>
        <v>8354.5312444470965</v>
      </c>
      <c r="L30" s="303">
        <f t="shared" si="5"/>
        <v>28.494754895386375</v>
      </c>
      <c r="M30" s="303">
        <f t="shared" si="6"/>
        <v>8326.0364895517105</v>
      </c>
      <c r="N30" s="307">
        <f t="shared" si="7"/>
        <v>333611.02225508477</v>
      </c>
    </row>
    <row r="31" spans="2:14" x14ac:dyDescent="0.45">
      <c r="B31" s="306">
        <f t="shared" si="8"/>
        <v>44896</v>
      </c>
      <c r="C31" s="303">
        <f t="shared" si="9"/>
        <v>334719.98871046543</v>
      </c>
      <c r="D31" s="303">
        <f t="shared" si="0"/>
        <v>8439.6699234351527</v>
      </c>
      <c r="E31" s="303">
        <f t="shared" si="1"/>
        <v>139.46666196269393</v>
      </c>
      <c r="F31" s="303">
        <f t="shared" si="2"/>
        <v>8300.2032614724594</v>
      </c>
      <c r="G31" s="307">
        <f t="shared" si="3"/>
        <v>326419.78544899297</v>
      </c>
      <c r="I31" s="306">
        <f t="shared" si="10"/>
        <v>45901</v>
      </c>
      <c r="J31" s="303">
        <f t="shared" si="11"/>
        <v>333611.02225508477</v>
      </c>
      <c r="K31" s="303">
        <f t="shared" si="4"/>
        <v>8354.5312444470965</v>
      </c>
      <c r="L31" s="303">
        <f t="shared" si="5"/>
        <v>27.800918521257064</v>
      </c>
      <c r="M31" s="303">
        <f t="shared" si="6"/>
        <v>8326.7303259258388</v>
      </c>
      <c r="N31" s="307">
        <f t="shared" si="7"/>
        <v>325284.29192915891</v>
      </c>
    </row>
    <row r="32" spans="2:14" x14ac:dyDescent="0.45">
      <c r="B32" s="306">
        <f t="shared" si="8"/>
        <v>44927</v>
      </c>
      <c r="C32" s="303">
        <f t="shared" si="9"/>
        <v>326419.78544899297</v>
      </c>
      <c r="D32" s="303">
        <f t="shared" si="0"/>
        <v>8439.6699234351527</v>
      </c>
      <c r="E32" s="303">
        <f t="shared" si="1"/>
        <v>136.00824393708041</v>
      </c>
      <c r="F32" s="303">
        <f t="shared" si="2"/>
        <v>8303.6616794980728</v>
      </c>
      <c r="G32" s="307">
        <f t="shared" si="3"/>
        <v>318116.12376949488</v>
      </c>
      <c r="I32" s="306">
        <f t="shared" si="10"/>
        <v>45931</v>
      </c>
      <c r="J32" s="303">
        <f t="shared" si="11"/>
        <v>325284.29192915891</v>
      </c>
      <c r="K32" s="303">
        <f t="shared" si="4"/>
        <v>8354.5312444470965</v>
      </c>
      <c r="L32" s="303">
        <f t="shared" si="5"/>
        <v>27.107024327429912</v>
      </c>
      <c r="M32" s="303">
        <f t="shared" si="6"/>
        <v>8327.4242201196666</v>
      </c>
      <c r="N32" s="307">
        <f t="shared" si="7"/>
        <v>316956.86770903924</v>
      </c>
    </row>
    <row r="33" spans="2:14" x14ac:dyDescent="0.45">
      <c r="B33" s="306">
        <f t="shared" si="8"/>
        <v>44958</v>
      </c>
      <c r="C33" s="303">
        <f t="shared" si="9"/>
        <v>318116.12376949488</v>
      </c>
      <c r="D33" s="303">
        <f t="shared" si="0"/>
        <v>8439.6699234351527</v>
      </c>
      <c r="E33" s="303">
        <f t="shared" si="1"/>
        <v>132.54838490395619</v>
      </c>
      <c r="F33" s="303">
        <f t="shared" si="2"/>
        <v>8307.1215385311971</v>
      </c>
      <c r="G33" s="307">
        <f t="shared" si="3"/>
        <v>309809.00223096367</v>
      </c>
      <c r="I33" s="306">
        <f t="shared" si="10"/>
        <v>45962</v>
      </c>
      <c r="J33" s="303">
        <f t="shared" si="11"/>
        <v>316956.86770903924</v>
      </c>
      <c r="K33" s="303">
        <f t="shared" si="4"/>
        <v>8354.5312444470965</v>
      </c>
      <c r="L33" s="303">
        <f t="shared" si="5"/>
        <v>26.413072309086605</v>
      </c>
      <c r="M33" s="303">
        <f t="shared" si="6"/>
        <v>8328.118172138009</v>
      </c>
      <c r="N33" s="307">
        <f t="shared" si="7"/>
        <v>308628.74953690125</v>
      </c>
    </row>
    <row r="34" spans="2:14" x14ac:dyDescent="0.45">
      <c r="B34" s="306">
        <f t="shared" si="8"/>
        <v>44986</v>
      </c>
      <c r="C34" s="303">
        <f t="shared" si="9"/>
        <v>309809.00223096367</v>
      </c>
      <c r="D34" s="303">
        <f t="shared" si="0"/>
        <v>8439.6699234351527</v>
      </c>
      <c r="E34" s="303">
        <f t="shared" si="1"/>
        <v>129.08708426290153</v>
      </c>
      <c r="F34" s="303">
        <f t="shared" si="2"/>
        <v>8310.5828391722516</v>
      </c>
      <c r="G34" s="307">
        <f t="shared" si="3"/>
        <v>301498.41939179139</v>
      </c>
      <c r="I34" s="306">
        <f t="shared" si="10"/>
        <v>45992</v>
      </c>
      <c r="J34" s="303">
        <f t="shared" si="11"/>
        <v>308628.74953690125</v>
      </c>
      <c r="K34" s="303">
        <f t="shared" si="4"/>
        <v>8354.5312444470965</v>
      </c>
      <c r="L34" s="303">
        <f t="shared" si="5"/>
        <v>25.719062461408438</v>
      </c>
      <c r="M34" s="303">
        <f t="shared" si="6"/>
        <v>8328.8121819856879</v>
      </c>
      <c r="N34" s="307">
        <f t="shared" si="7"/>
        <v>300299.93735491554</v>
      </c>
    </row>
    <row r="35" spans="2:14" x14ac:dyDescent="0.45">
      <c r="B35" s="306">
        <f t="shared" si="8"/>
        <v>45017</v>
      </c>
      <c r="C35" s="303">
        <f t="shared" si="9"/>
        <v>301498.41939179139</v>
      </c>
      <c r="D35" s="303">
        <f t="shared" si="0"/>
        <v>8439.6699234351527</v>
      </c>
      <c r="E35" s="303">
        <f t="shared" si="1"/>
        <v>125.62434141324643</v>
      </c>
      <c r="F35" s="303">
        <f t="shared" si="2"/>
        <v>8314.0455820219067</v>
      </c>
      <c r="G35" s="307">
        <f t="shared" si="3"/>
        <v>293184.37380976952</v>
      </c>
      <c r="I35" s="306">
        <f t="shared" si="10"/>
        <v>46023</v>
      </c>
      <c r="J35" s="303">
        <f t="shared" si="11"/>
        <v>300299.93735491554</v>
      </c>
      <c r="K35" s="303">
        <f t="shared" si="4"/>
        <v>8354.5312444470965</v>
      </c>
      <c r="L35" s="303">
        <f t="shared" si="5"/>
        <v>25.024994779576293</v>
      </c>
      <c r="M35" s="303">
        <f t="shared" si="6"/>
        <v>8329.50624966752</v>
      </c>
      <c r="N35" s="307">
        <f t="shared" si="7"/>
        <v>291970.43110524805</v>
      </c>
    </row>
    <row r="36" spans="2:14" x14ac:dyDescent="0.45">
      <c r="B36" s="306">
        <f t="shared" si="8"/>
        <v>45047</v>
      </c>
      <c r="C36" s="303">
        <f t="shared" si="9"/>
        <v>293184.37380976952</v>
      </c>
      <c r="D36" s="303">
        <f t="shared" si="0"/>
        <v>8439.6699234351527</v>
      </c>
      <c r="E36" s="303">
        <f t="shared" si="1"/>
        <v>122.16015575407063</v>
      </c>
      <c r="F36" s="303">
        <f t="shared" si="2"/>
        <v>8317.5097676810819</v>
      </c>
      <c r="G36" s="307">
        <f t="shared" si="3"/>
        <v>284866.86404208845</v>
      </c>
      <c r="I36" s="306">
        <f t="shared" si="10"/>
        <v>46054</v>
      </c>
      <c r="J36" s="303">
        <f t="shared" si="11"/>
        <v>291970.43110524805</v>
      </c>
      <c r="K36" s="303">
        <f t="shared" si="4"/>
        <v>8354.5312444470965</v>
      </c>
      <c r="L36" s="303">
        <f t="shared" si="5"/>
        <v>24.330869258770672</v>
      </c>
      <c r="M36" s="303">
        <f t="shared" si="6"/>
        <v>8330.2003751883258</v>
      </c>
      <c r="N36" s="307">
        <f t="shared" si="7"/>
        <v>283640.23073005973</v>
      </c>
    </row>
    <row r="37" spans="2:14" x14ac:dyDescent="0.45">
      <c r="B37" s="306">
        <f t="shared" si="8"/>
        <v>45078</v>
      </c>
      <c r="C37" s="303">
        <f t="shared" si="9"/>
        <v>284866.86404208845</v>
      </c>
      <c r="D37" s="303">
        <f t="shared" si="0"/>
        <v>8439.6699234351527</v>
      </c>
      <c r="E37" s="303">
        <f t="shared" si="1"/>
        <v>118.69452668420352</v>
      </c>
      <c r="F37" s="303">
        <f t="shared" si="2"/>
        <v>8320.9753967509496</v>
      </c>
      <c r="G37" s="307">
        <f t="shared" si="3"/>
        <v>276545.88864533749</v>
      </c>
      <c r="I37" s="306">
        <f t="shared" si="10"/>
        <v>46082</v>
      </c>
      <c r="J37" s="303">
        <f t="shared" si="11"/>
        <v>283640.23073005973</v>
      </c>
      <c r="K37" s="303">
        <f t="shared" si="4"/>
        <v>8354.5312444470965</v>
      </c>
      <c r="L37" s="303">
        <f t="shared" si="5"/>
        <v>23.636685894171645</v>
      </c>
      <c r="M37" s="303">
        <f t="shared" si="6"/>
        <v>8330.8945585529254</v>
      </c>
      <c r="N37" s="307">
        <f t="shared" si="7"/>
        <v>275309.33617150679</v>
      </c>
    </row>
    <row r="38" spans="2:14" x14ac:dyDescent="0.45">
      <c r="B38" s="306">
        <f t="shared" si="8"/>
        <v>45108</v>
      </c>
      <c r="C38" s="303">
        <f t="shared" si="9"/>
        <v>276545.88864533749</v>
      </c>
      <c r="D38" s="303">
        <f t="shared" si="0"/>
        <v>8439.6699234351527</v>
      </c>
      <c r="E38" s="303">
        <f t="shared" si="1"/>
        <v>115.22745360222395</v>
      </c>
      <c r="F38" s="303">
        <f t="shared" si="2"/>
        <v>8324.4424698329294</v>
      </c>
      <c r="G38" s="307">
        <f t="shared" si="3"/>
        <v>268221.44617550453</v>
      </c>
      <c r="I38" s="306">
        <f t="shared" si="10"/>
        <v>46113</v>
      </c>
      <c r="J38" s="303">
        <f t="shared" si="11"/>
        <v>275309.33617150679</v>
      </c>
      <c r="K38" s="303">
        <f t="shared" si="4"/>
        <v>8354.5312444470965</v>
      </c>
      <c r="L38" s="303">
        <f t="shared" si="5"/>
        <v>22.9424446809589</v>
      </c>
      <c r="M38" s="303">
        <f t="shared" si="6"/>
        <v>8331.5887997661375</v>
      </c>
      <c r="N38" s="307">
        <f t="shared" si="7"/>
        <v>266977.74737174064</v>
      </c>
    </row>
    <row r="39" spans="2:14" x14ac:dyDescent="0.45">
      <c r="B39" s="306">
        <f t="shared" si="8"/>
        <v>45139</v>
      </c>
      <c r="C39" s="303">
        <f t="shared" si="9"/>
        <v>268221.44617550453</v>
      </c>
      <c r="D39" s="303">
        <f t="shared" si="0"/>
        <v>8439.6699234351527</v>
      </c>
      <c r="E39" s="303">
        <f t="shared" si="1"/>
        <v>111.75893590646022</v>
      </c>
      <c r="F39" s="303">
        <f t="shared" si="2"/>
        <v>8327.9109875286922</v>
      </c>
      <c r="G39" s="307">
        <f t="shared" si="3"/>
        <v>259893.53518797585</v>
      </c>
      <c r="I39" s="306">
        <f t="shared" si="10"/>
        <v>46143</v>
      </c>
      <c r="J39" s="303">
        <f t="shared" si="11"/>
        <v>266977.74737174064</v>
      </c>
      <c r="K39" s="303">
        <f t="shared" si="4"/>
        <v>8354.5312444470965</v>
      </c>
      <c r="L39" s="303">
        <f t="shared" si="5"/>
        <v>22.248145614311721</v>
      </c>
      <c r="M39" s="303">
        <f t="shared" si="6"/>
        <v>8332.2830988327842</v>
      </c>
      <c r="N39" s="307">
        <f t="shared" si="7"/>
        <v>258645.46427290785</v>
      </c>
    </row>
    <row r="40" spans="2:14" x14ac:dyDescent="0.45">
      <c r="B40" s="306">
        <f t="shared" si="8"/>
        <v>45170</v>
      </c>
      <c r="C40" s="303">
        <f t="shared" si="9"/>
        <v>259893.53518797585</v>
      </c>
      <c r="D40" s="303">
        <f t="shared" si="0"/>
        <v>8439.6699234351527</v>
      </c>
      <c r="E40" s="303">
        <f t="shared" si="1"/>
        <v>108.28897299498993</v>
      </c>
      <c r="F40" s="303">
        <f t="shared" si="2"/>
        <v>8331.3809504401634</v>
      </c>
      <c r="G40" s="307">
        <f t="shared" si="3"/>
        <v>251562.15423753569</v>
      </c>
      <c r="I40" s="306">
        <f t="shared" si="10"/>
        <v>46174</v>
      </c>
      <c r="J40" s="303">
        <f t="shared" si="11"/>
        <v>258645.46427290785</v>
      </c>
      <c r="K40" s="303">
        <f t="shared" si="4"/>
        <v>8354.5312444470965</v>
      </c>
      <c r="L40" s="303">
        <f t="shared" si="5"/>
        <v>21.553788689408989</v>
      </c>
      <c r="M40" s="303">
        <f t="shared" si="6"/>
        <v>8332.9774557576875</v>
      </c>
      <c r="N40" s="307">
        <f t="shared" si="7"/>
        <v>250312.48681715017</v>
      </c>
    </row>
    <row r="41" spans="2:14" x14ac:dyDescent="0.45">
      <c r="B41" s="306">
        <f t="shared" si="8"/>
        <v>45200</v>
      </c>
      <c r="C41" s="303">
        <f t="shared" si="9"/>
        <v>251562.15423753569</v>
      </c>
      <c r="D41" s="303">
        <f t="shared" si="0"/>
        <v>8439.6699234351527</v>
      </c>
      <c r="E41" s="303">
        <f t="shared" si="1"/>
        <v>104.81756426563987</v>
      </c>
      <c r="F41" s="303">
        <f t="shared" si="2"/>
        <v>8334.8523591695121</v>
      </c>
      <c r="G41" s="307">
        <f t="shared" si="3"/>
        <v>243227.30187836618</v>
      </c>
      <c r="I41" s="306">
        <f t="shared" si="10"/>
        <v>46204</v>
      </c>
      <c r="J41" s="303">
        <f t="shared" si="11"/>
        <v>250312.48681715017</v>
      </c>
      <c r="K41" s="303">
        <f t="shared" si="4"/>
        <v>8354.5312444470965</v>
      </c>
      <c r="L41" s="303">
        <f t="shared" si="5"/>
        <v>20.859373901429183</v>
      </c>
      <c r="M41" s="303">
        <f t="shared" si="6"/>
        <v>8333.6718705456678</v>
      </c>
      <c r="N41" s="307">
        <f t="shared" si="7"/>
        <v>241978.81494660451</v>
      </c>
    </row>
    <row r="42" spans="2:14" x14ac:dyDescent="0.45">
      <c r="B42" s="306">
        <f t="shared" si="8"/>
        <v>45231</v>
      </c>
      <c r="C42" s="303">
        <f t="shared" si="9"/>
        <v>243227.30187836618</v>
      </c>
      <c r="D42" s="303">
        <f t="shared" si="0"/>
        <v>8439.6699234351527</v>
      </c>
      <c r="E42" s="303">
        <f t="shared" si="1"/>
        <v>101.34470911598591</v>
      </c>
      <c r="F42" s="303">
        <f t="shared" si="2"/>
        <v>8338.3252143191676</v>
      </c>
      <c r="G42" s="307">
        <f t="shared" si="3"/>
        <v>234888.97666404702</v>
      </c>
      <c r="I42" s="306">
        <f t="shared" si="10"/>
        <v>46235</v>
      </c>
      <c r="J42" s="303">
        <f t="shared" si="11"/>
        <v>241978.81494660451</v>
      </c>
      <c r="K42" s="303">
        <f t="shared" si="4"/>
        <v>8354.5312444470965</v>
      </c>
      <c r="L42" s="303">
        <f t="shared" si="5"/>
        <v>20.164901245550379</v>
      </c>
      <c r="M42" s="303">
        <f t="shared" si="6"/>
        <v>8334.3663432015455</v>
      </c>
      <c r="N42" s="307">
        <f t="shared" si="7"/>
        <v>233644.44860340297</v>
      </c>
    </row>
    <row r="43" spans="2:14" x14ac:dyDescent="0.45">
      <c r="B43" s="306">
        <f t="shared" si="8"/>
        <v>45261</v>
      </c>
      <c r="C43" s="303">
        <f t="shared" si="9"/>
        <v>234888.97666404702</v>
      </c>
      <c r="D43" s="303">
        <f t="shared" si="0"/>
        <v>8439.6699234351527</v>
      </c>
      <c r="E43" s="303">
        <f t="shared" si="1"/>
        <v>97.870406943352918</v>
      </c>
      <c r="F43" s="303">
        <f t="shared" si="2"/>
        <v>8341.7995164917993</v>
      </c>
      <c r="G43" s="307">
        <f t="shared" si="3"/>
        <v>226547.17714755522</v>
      </c>
      <c r="I43" s="306">
        <f t="shared" si="10"/>
        <v>46266</v>
      </c>
      <c r="J43" s="303">
        <f t="shared" si="11"/>
        <v>233644.44860340297</v>
      </c>
      <c r="K43" s="303">
        <f t="shared" si="4"/>
        <v>8354.5312444470965</v>
      </c>
      <c r="L43" s="303">
        <f t="shared" si="5"/>
        <v>19.470370716950246</v>
      </c>
      <c r="M43" s="303">
        <f t="shared" si="6"/>
        <v>8335.0608737301463</v>
      </c>
      <c r="N43" s="307">
        <f t="shared" si="7"/>
        <v>225309.38772967283</v>
      </c>
    </row>
    <row r="44" spans="2:14" x14ac:dyDescent="0.45">
      <c r="B44" s="306">
        <f t="shared" si="8"/>
        <v>45292</v>
      </c>
      <c r="C44" s="303">
        <f t="shared" si="9"/>
        <v>226547.17714755522</v>
      </c>
      <c r="D44" s="303">
        <f t="shared" si="0"/>
        <v>8439.6699234351527</v>
      </c>
      <c r="E44" s="303">
        <f t="shared" si="1"/>
        <v>94.394657144814687</v>
      </c>
      <c r="F44" s="303">
        <f t="shared" si="2"/>
        <v>8345.2752662903385</v>
      </c>
      <c r="G44" s="307">
        <f t="shared" si="3"/>
        <v>218201.90188126487</v>
      </c>
      <c r="I44" s="306">
        <f t="shared" si="10"/>
        <v>46296</v>
      </c>
      <c r="J44" s="303">
        <f t="shared" si="11"/>
        <v>225309.38772967283</v>
      </c>
      <c r="K44" s="303">
        <f t="shared" si="4"/>
        <v>8354.5312444470965</v>
      </c>
      <c r="L44" s="303">
        <f t="shared" si="5"/>
        <v>18.775782310806068</v>
      </c>
      <c r="M44" s="303">
        <f t="shared" si="6"/>
        <v>8335.7554621362906</v>
      </c>
      <c r="N44" s="307">
        <f t="shared" si="7"/>
        <v>216973.63226753654</v>
      </c>
    </row>
    <row r="45" spans="2:14" x14ac:dyDescent="0.45">
      <c r="B45" s="306">
        <f t="shared" si="8"/>
        <v>45323</v>
      </c>
      <c r="C45" s="303">
        <f t="shared" si="9"/>
        <v>218201.90188126487</v>
      </c>
      <c r="D45" s="303">
        <f t="shared" si="0"/>
        <v>8439.6699234351527</v>
      </c>
      <c r="E45" s="303">
        <f t="shared" si="1"/>
        <v>90.917459117193701</v>
      </c>
      <c r="F45" s="303">
        <f t="shared" si="2"/>
        <v>8348.7524643179586</v>
      </c>
      <c r="G45" s="307">
        <f t="shared" si="3"/>
        <v>209853.14941694692</v>
      </c>
      <c r="I45" s="306">
        <f t="shared" si="10"/>
        <v>46327</v>
      </c>
      <c r="J45" s="303">
        <f t="shared" si="11"/>
        <v>216973.63226753654</v>
      </c>
      <c r="K45" s="303">
        <f t="shared" si="4"/>
        <v>8354.5312444470965</v>
      </c>
      <c r="L45" s="303">
        <f t="shared" si="5"/>
        <v>18.081136022294711</v>
      </c>
      <c r="M45" s="303">
        <f t="shared" si="6"/>
        <v>8336.4501084248022</v>
      </c>
      <c r="N45" s="307">
        <f t="shared" si="7"/>
        <v>208637.18215911175</v>
      </c>
    </row>
    <row r="46" spans="2:14" x14ac:dyDescent="0.45">
      <c r="B46" s="306">
        <f t="shared" si="8"/>
        <v>45352</v>
      </c>
      <c r="C46" s="303">
        <f t="shared" si="9"/>
        <v>209853.14941694692</v>
      </c>
      <c r="D46" s="303">
        <f t="shared" si="0"/>
        <v>8439.6699234351527</v>
      </c>
      <c r="E46" s="303">
        <f t="shared" si="1"/>
        <v>87.438812257061215</v>
      </c>
      <c r="F46" s="303">
        <f t="shared" si="2"/>
        <v>8352.2311111780909</v>
      </c>
      <c r="G46" s="307">
        <f t="shared" si="3"/>
        <v>201500.91830576884</v>
      </c>
      <c r="I46" s="306">
        <f t="shared" si="10"/>
        <v>46357</v>
      </c>
      <c r="J46" s="303">
        <f t="shared" si="11"/>
        <v>208637.18215911175</v>
      </c>
      <c r="K46" s="303">
        <f t="shared" si="4"/>
        <v>8354.5312444470965</v>
      </c>
      <c r="L46" s="303">
        <f t="shared" si="5"/>
        <v>17.386431846592647</v>
      </c>
      <c r="M46" s="303">
        <f t="shared" si="6"/>
        <v>8337.1448126005034</v>
      </c>
      <c r="N46" s="307">
        <f t="shared" si="7"/>
        <v>200300.03734651124</v>
      </c>
    </row>
    <row r="47" spans="2:14" x14ac:dyDescent="0.45">
      <c r="B47" s="306">
        <f t="shared" si="8"/>
        <v>45383</v>
      </c>
      <c r="C47" s="303">
        <f t="shared" si="9"/>
        <v>201500.91830576884</v>
      </c>
      <c r="D47" s="303">
        <f t="shared" si="0"/>
        <v>8439.6699234351527</v>
      </c>
      <c r="E47" s="303">
        <f t="shared" si="1"/>
        <v>83.958715960737024</v>
      </c>
      <c r="F47" s="303">
        <f t="shared" si="2"/>
        <v>8355.7112074744164</v>
      </c>
      <c r="G47" s="307">
        <f t="shared" si="3"/>
        <v>193145.20709829443</v>
      </c>
      <c r="I47" s="306">
        <f t="shared" si="10"/>
        <v>46388</v>
      </c>
      <c r="J47" s="303">
        <f t="shared" si="11"/>
        <v>200300.03734651124</v>
      </c>
      <c r="K47" s="303">
        <f t="shared" si="4"/>
        <v>8354.5312444470965</v>
      </c>
      <c r="L47" s="303">
        <f t="shared" si="5"/>
        <v>16.691669778875937</v>
      </c>
      <c r="M47" s="303">
        <f t="shared" si="6"/>
        <v>8337.8395746682199</v>
      </c>
      <c r="N47" s="307">
        <f t="shared" si="7"/>
        <v>191962.19777184303</v>
      </c>
    </row>
    <row r="48" spans="2:14" x14ac:dyDescent="0.45">
      <c r="B48" s="306">
        <f t="shared" si="8"/>
        <v>45413</v>
      </c>
      <c r="C48" s="303">
        <f t="shared" si="9"/>
        <v>193145.20709829443</v>
      </c>
      <c r="D48" s="303">
        <f t="shared" si="0"/>
        <v>8439.6699234351527</v>
      </c>
      <c r="E48" s="303">
        <f t="shared" si="1"/>
        <v>80.477169624289346</v>
      </c>
      <c r="F48" s="303">
        <f t="shared" si="2"/>
        <v>8359.192753810863</v>
      </c>
      <c r="G48" s="307">
        <f t="shared" si="3"/>
        <v>184786.01434448356</v>
      </c>
      <c r="I48" s="306">
        <f t="shared" si="10"/>
        <v>46419</v>
      </c>
      <c r="J48" s="303">
        <f t="shared" si="11"/>
        <v>191962.19777184303</v>
      </c>
      <c r="K48" s="303">
        <f t="shared" si="4"/>
        <v>8354.5312444470965</v>
      </c>
      <c r="L48" s="303">
        <f t="shared" si="5"/>
        <v>15.996849814320251</v>
      </c>
      <c r="M48" s="303">
        <f t="shared" si="6"/>
        <v>8338.5343946327757</v>
      </c>
      <c r="N48" s="307">
        <f t="shared" si="7"/>
        <v>183623.66337721027</v>
      </c>
    </row>
    <row r="49" spans="2:14" x14ac:dyDescent="0.45">
      <c r="B49" s="306">
        <f t="shared" si="8"/>
        <v>45444</v>
      </c>
      <c r="C49" s="303">
        <f t="shared" si="9"/>
        <v>184786.01434448356</v>
      </c>
      <c r="D49" s="303">
        <f t="shared" si="0"/>
        <v>8439.6699234351527</v>
      </c>
      <c r="E49" s="303">
        <f t="shared" si="1"/>
        <v>76.99417264353481</v>
      </c>
      <c r="F49" s="303">
        <f t="shared" si="2"/>
        <v>8362.6757507916172</v>
      </c>
      <c r="G49" s="307">
        <f t="shared" si="3"/>
        <v>176423.33859369194</v>
      </c>
      <c r="I49" s="306">
        <f t="shared" si="10"/>
        <v>46447</v>
      </c>
      <c r="J49" s="303">
        <f t="shared" si="11"/>
        <v>183623.66337721027</v>
      </c>
      <c r="K49" s="303">
        <f t="shared" si="4"/>
        <v>8354.5312444470965</v>
      </c>
      <c r="L49" s="303">
        <f t="shared" si="5"/>
        <v>15.301971948100856</v>
      </c>
      <c r="M49" s="303">
        <f t="shared" si="6"/>
        <v>8339.2292724989948</v>
      </c>
      <c r="N49" s="307">
        <f t="shared" si="7"/>
        <v>175284.43410471128</v>
      </c>
    </row>
    <row r="50" spans="2:14" x14ac:dyDescent="0.45">
      <c r="B50" s="306">
        <f t="shared" si="8"/>
        <v>45474</v>
      </c>
      <c r="C50" s="303">
        <f t="shared" si="9"/>
        <v>176423.33859369194</v>
      </c>
      <c r="D50" s="303">
        <f t="shared" si="0"/>
        <v>8439.6699234351527</v>
      </c>
      <c r="E50" s="303">
        <f t="shared" si="1"/>
        <v>73.509724414038303</v>
      </c>
      <c r="F50" s="303">
        <f t="shared" si="2"/>
        <v>8366.1601990211147</v>
      </c>
      <c r="G50" s="307">
        <f t="shared" si="3"/>
        <v>168057.17839467083</v>
      </c>
      <c r="I50" s="306">
        <f t="shared" si="10"/>
        <v>46478</v>
      </c>
      <c r="J50" s="303">
        <f t="shared" si="11"/>
        <v>175284.43410471128</v>
      </c>
      <c r="K50" s="303">
        <f t="shared" si="4"/>
        <v>8354.5312444470965</v>
      </c>
      <c r="L50" s="303">
        <f t="shared" si="5"/>
        <v>14.607036175392608</v>
      </c>
      <c r="M50" s="303">
        <f t="shared" si="6"/>
        <v>8339.9242082717046</v>
      </c>
      <c r="N50" s="307">
        <f t="shared" si="7"/>
        <v>166944.50989643959</v>
      </c>
    </row>
    <row r="51" spans="2:14" x14ac:dyDescent="0.45">
      <c r="B51" s="306">
        <f t="shared" si="8"/>
        <v>45505</v>
      </c>
      <c r="C51" s="303">
        <f t="shared" si="9"/>
        <v>168057.17839467083</v>
      </c>
      <c r="D51" s="303">
        <f t="shared" si="0"/>
        <v>8439.6699234351527</v>
      </c>
      <c r="E51" s="303">
        <f t="shared" si="1"/>
        <v>70.023824331112849</v>
      </c>
      <c r="F51" s="303">
        <f t="shared" si="2"/>
        <v>8369.6460991040403</v>
      </c>
      <c r="G51" s="307">
        <f t="shared" si="3"/>
        <v>159687.53229556678</v>
      </c>
      <c r="I51" s="306">
        <f t="shared" si="10"/>
        <v>46508</v>
      </c>
      <c r="J51" s="303">
        <f t="shared" si="11"/>
        <v>166944.50989643959</v>
      </c>
      <c r="K51" s="303">
        <f t="shared" si="4"/>
        <v>8354.5312444470965</v>
      </c>
      <c r="L51" s="303">
        <f t="shared" si="5"/>
        <v>13.912042491369967</v>
      </c>
      <c r="M51" s="303">
        <f t="shared" si="6"/>
        <v>8340.6192019557257</v>
      </c>
      <c r="N51" s="307">
        <f t="shared" si="7"/>
        <v>158603.89069448385</v>
      </c>
    </row>
    <row r="52" spans="2:14" x14ac:dyDescent="0.45">
      <c r="B52" s="306">
        <f t="shared" si="8"/>
        <v>45536</v>
      </c>
      <c r="C52" s="303">
        <f t="shared" si="9"/>
        <v>159687.53229556678</v>
      </c>
      <c r="D52" s="303">
        <f t="shared" si="0"/>
        <v>8439.6699234351527</v>
      </c>
      <c r="E52" s="303">
        <f t="shared" si="1"/>
        <v>66.536471789819487</v>
      </c>
      <c r="F52" s="303">
        <f t="shared" si="2"/>
        <v>8373.1334516453335</v>
      </c>
      <c r="G52" s="307">
        <f t="shared" si="3"/>
        <v>151314.39884392146</v>
      </c>
      <c r="I52" s="306">
        <f t="shared" si="10"/>
        <v>46539</v>
      </c>
      <c r="J52" s="303">
        <f t="shared" si="11"/>
        <v>158603.89069448385</v>
      </c>
      <c r="K52" s="303">
        <f t="shared" si="4"/>
        <v>8354.5312444470965</v>
      </c>
      <c r="L52" s="303">
        <f t="shared" si="5"/>
        <v>13.216990891206988</v>
      </c>
      <c r="M52" s="303">
        <f t="shared" si="6"/>
        <v>8341.3142535558891</v>
      </c>
      <c r="N52" s="307">
        <f t="shared" si="7"/>
        <v>150262.57644092795</v>
      </c>
    </row>
    <row r="53" spans="2:14" x14ac:dyDescent="0.45">
      <c r="B53" s="306">
        <f t="shared" si="8"/>
        <v>45566</v>
      </c>
      <c r="C53" s="303">
        <f t="shared" si="9"/>
        <v>151314.39884392146</v>
      </c>
      <c r="D53" s="303">
        <f t="shared" si="0"/>
        <v>8439.6699234351527</v>
      </c>
      <c r="E53" s="303">
        <f t="shared" si="1"/>
        <v>63.047666184967277</v>
      </c>
      <c r="F53" s="303">
        <f t="shared" si="2"/>
        <v>8376.6222572501847</v>
      </c>
      <c r="G53" s="307">
        <f t="shared" si="3"/>
        <v>142937.77658667127</v>
      </c>
      <c r="I53" s="306">
        <f t="shared" si="10"/>
        <v>46569</v>
      </c>
      <c r="J53" s="303">
        <f t="shared" si="11"/>
        <v>150262.57644092795</v>
      </c>
      <c r="K53" s="303">
        <f t="shared" si="4"/>
        <v>8354.5312444470965</v>
      </c>
      <c r="L53" s="303">
        <f t="shared" si="5"/>
        <v>12.521881370077329</v>
      </c>
      <c r="M53" s="303">
        <f t="shared" si="6"/>
        <v>8342.0093630770189</v>
      </c>
      <c r="N53" s="307">
        <f t="shared" si="7"/>
        <v>141920.56707785092</v>
      </c>
    </row>
    <row r="54" spans="2:14" x14ac:dyDescent="0.45">
      <c r="B54" s="306">
        <f t="shared" si="8"/>
        <v>45597</v>
      </c>
      <c r="C54" s="303">
        <f t="shared" si="9"/>
        <v>142937.77658667127</v>
      </c>
      <c r="D54" s="303">
        <f t="shared" si="0"/>
        <v>8439.6699234351527</v>
      </c>
      <c r="E54" s="303">
        <f t="shared" si="1"/>
        <v>59.557406911113027</v>
      </c>
      <c r="F54" s="303">
        <f t="shared" si="2"/>
        <v>8380.1125165240392</v>
      </c>
      <c r="G54" s="307">
        <f t="shared" si="3"/>
        <v>134557.66407014724</v>
      </c>
      <c r="I54" s="306">
        <f t="shared" si="10"/>
        <v>46600</v>
      </c>
      <c r="J54" s="303">
        <f t="shared" si="11"/>
        <v>141920.56707785092</v>
      </c>
      <c r="K54" s="303">
        <f t="shared" si="4"/>
        <v>8354.5312444470965</v>
      </c>
      <c r="L54" s="303">
        <f t="shared" si="5"/>
        <v>11.826713923154244</v>
      </c>
      <c r="M54" s="303">
        <f t="shared" si="6"/>
        <v>8342.7045305239426</v>
      </c>
      <c r="N54" s="307">
        <f t="shared" si="7"/>
        <v>133577.86254732698</v>
      </c>
    </row>
    <row r="55" spans="2:14" x14ac:dyDescent="0.45">
      <c r="B55" s="306">
        <f t="shared" si="8"/>
        <v>45627</v>
      </c>
      <c r="C55" s="303">
        <f t="shared" si="9"/>
        <v>134557.66407014724</v>
      </c>
      <c r="D55" s="303">
        <f t="shared" si="0"/>
        <v>8439.6699234351527</v>
      </c>
      <c r="E55" s="303">
        <f t="shared" si="1"/>
        <v>56.065693362561348</v>
      </c>
      <c r="F55" s="303">
        <f t="shared" si="2"/>
        <v>8383.6042300725912</v>
      </c>
      <c r="G55" s="307">
        <f t="shared" si="3"/>
        <v>126174.05984007464</v>
      </c>
      <c r="I55" s="306">
        <f t="shared" si="10"/>
        <v>46631</v>
      </c>
      <c r="J55" s="303">
        <f t="shared" si="11"/>
        <v>133577.86254732698</v>
      </c>
      <c r="K55" s="303">
        <f t="shared" si="4"/>
        <v>8354.5312444470965</v>
      </c>
      <c r="L55" s="303">
        <f t="shared" si="5"/>
        <v>11.131488545610582</v>
      </c>
      <c r="M55" s="303">
        <f t="shared" si="6"/>
        <v>8343.3997559014861</v>
      </c>
      <c r="N55" s="307">
        <f t="shared" si="7"/>
        <v>125234.4627914255</v>
      </c>
    </row>
    <row r="56" spans="2:14" x14ac:dyDescent="0.45">
      <c r="B56" s="306">
        <f t="shared" si="8"/>
        <v>45658</v>
      </c>
      <c r="C56" s="303">
        <f t="shared" si="9"/>
        <v>126174.05984007464</v>
      </c>
      <c r="D56" s="303">
        <f t="shared" si="0"/>
        <v>8439.6699234351527</v>
      </c>
      <c r="E56" s="303">
        <f t="shared" si="1"/>
        <v>52.572524933364434</v>
      </c>
      <c r="F56" s="303">
        <f t="shared" si="2"/>
        <v>8387.0973985017881</v>
      </c>
      <c r="G56" s="307">
        <f t="shared" si="3"/>
        <v>117786.96244157285</v>
      </c>
      <c r="I56" s="306">
        <f t="shared" si="10"/>
        <v>46661</v>
      </c>
      <c r="J56" s="303">
        <f t="shared" si="11"/>
        <v>125234.4627914255</v>
      </c>
      <c r="K56" s="303">
        <f t="shared" si="4"/>
        <v>8354.5312444470965</v>
      </c>
      <c r="L56" s="303">
        <f t="shared" si="5"/>
        <v>10.436205232618791</v>
      </c>
      <c r="M56" s="303">
        <f t="shared" si="6"/>
        <v>8344.0950392144769</v>
      </c>
      <c r="N56" s="307">
        <f t="shared" si="7"/>
        <v>116890.36775221102</v>
      </c>
    </row>
    <row r="57" spans="2:14" x14ac:dyDescent="0.45">
      <c r="B57" s="306">
        <f t="shared" si="8"/>
        <v>45689</v>
      </c>
      <c r="C57" s="303">
        <f t="shared" si="9"/>
        <v>117786.96244157285</v>
      </c>
      <c r="D57" s="303">
        <f t="shared" si="0"/>
        <v>8439.6699234351527</v>
      </c>
      <c r="E57" s="303">
        <f t="shared" si="1"/>
        <v>49.077901017322027</v>
      </c>
      <c r="F57" s="303">
        <f t="shared" si="2"/>
        <v>8390.5920224178299</v>
      </c>
      <c r="G57" s="307">
        <f t="shared" si="3"/>
        <v>109396.37041915502</v>
      </c>
      <c r="I57" s="306">
        <f t="shared" si="10"/>
        <v>46692</v>
      </c>
      <c r="J57" s="303">
        <f t="shared" si="11"/>
        <v>116890.36775221102</v>
      </c>
      <c r="K57" s="303">
        <f t="shared" si="4"/>
        <v>8354.5312444470965</v>
      </c>
      <c r="L57" s="303">
        <f t="shared" si="5"/>
        <v>9.7408639793509177</v>
      </c>
      <c r="M57" s="303">
        <f t="shared" si="6"/>
        <v>8344.7903804677462</v>
      </c>
      <c r="N57" s="307">
        <f t="shared" si="7"/>
        <v>108545.57737174327</v>
      </c>
    </row>
    <row r="58" spans="2:14" x14ac:dyDescent="0.45">
      <c r="B58" s="306">
        <f t="shared" si="8"/>
        <v>45717</v>
      </c>
      <c r="C58" s="303">
        <f t="shared" si="9"/>
        <v>109396.37041915502</v>
      </c>
      <c r="D58" s="303">
        <f t="shared" si="0"/>
        <v>8439.6699234351527</v>
      </c>
      <c r="E58" s="303">
        <f t="shared" si="1"/>
        <v>45.581821007981262</v>
      </c>
      <c r="F58" s="303">
        <f t="shared" si="2"/>
        <v>8394.0881024271712</v>
      </c>
      <c r="G58" s="307">
        <f t="shared" si="3"/>
        <v>101002.28231672785</v>
      </c>
      <c r="I58" s="306">
        <f t="shared" si="10"/>
        <v>46722</v>
      </c>
      <c r="J58" s="303">
        <f t="shared" si="11"/>
        <v>108545.57737174327</v>
      </c>
      <c r="K58" s="303">
        <f t="shared" si="4"/>
        <v>8354.5312444470965</v>
      </c>
      <c r="L58" s="303">
        <f t="shared" si="5"/>
        <v>9.0454647809786071</v>
      </c>
      <c r="M58" s="303">
        <f t="shared" si="6"/>
        <v>8345.4857796661181</v>
      </c>
      <c r="N58" s="307">
        <f t="shared" si="7"/>
        <v>100200.09159207715</v>
      </c>
    </row>
    <row r="59" spans="2:14" x14ac:dyDescent="0.45">
      <c r="B59" s="306">
        <f t="shared" si="8"/>
        <v>45748</v>
      </c>
      <c r="C59" s="303">
        <f t="shared" si="9"/>
        <v>101002.28231672785</v>
      </c>
      <c r="D59" s="303">
        <f t="shared" si="0"/>
        <v>8439.6699234351527</v>
      </c>
      <c r="E59" s="303">
        <f t="shared" si="1"/>
        <v>42.084284298636611</v>
      </c>
      <c r="F59" s="303">
        <f t="shared" si="2"/>
        <v>8397.585639136516</v>
      </c>
      <c r="G59" s="307">
        <f t="shared" si="3"/>
        <v>92604.696677591332</v>
      </c>
      <c r="I59" s="306">
        <f t="shared" si="10"/>
        <v>46753</v>
      </c>
      <c r="J59" s="303">
        <f t="shared" si="11"/>
        <v>100200.09159207715</v>
      </c>
      <c r="K59" s="303">
        <f t="shared" si="4"/>
        <v>8354.5312444470965</v>
      </c>
      <c r="L59" s="303">
        <f t="shared" si="5"/>
        <v>8.3500076326730959</v>
      </c>
      <c r="M59" s="303">
        <f t="shared" si="6"/>
        <v>8346.1812368144238</v>
      </c>
      <c r="N59" s="307">
        <f t="shared" si="7"/>
        <v>91853.91035526272</v>
      </c>
    </row>
    <row r="60" spans="2:14" x14ac:dyDescent="0.45">
      <c r="B60" s="306">
        <f t="shared" si="8"/>
        <v>45778</v>
      </c>
      <c r="C60" s="303">
        <f t="shared" si="9"/>
        <v>92604.696677591332</v>
      </c>
      <c r="D60" s="303">
        <f t="shared" si="0"/>
        <v>8439.6699234351527</v>
      </c>
      <c r="E60" s="303">
        <f t="shared" si="1"/>
        <v>38.585290282329723</v>
      </c>
      <c r="F60" s="303">
        <f t="shared" si="2"/>
        <v>8401.0846331528228</v>
      </c>
      <c r="G60" s="307">
        <f t="shared" si="3"/>
        <v>84203.612044438516</v>
      </c>
      <c r="I60" s="306">
        <f t="shared" si="10"/>
        <v>46784</v>
      </c>
      <c r="J60" s="303">
        <f t="shared" si="11"/>
        <v>91853.91035526272</v>
      </c>
      <c r="K60" s="303">
        <f t="shared" si="4"/>
        <v>8354.5312444470965</v>
      </c>
      <c r="L60" s="303">
        <f t="shared" si="5"/>
        <v>7.6544925296052275</v>
      </c>
      <c r="M60" s="303">
        <f t="shared" si="6"/>
        <v>8346.8767519174908</v>
      </c>
      <c r="N60" s="307">
        <f t="shared" si="7"/>
        <v>83507.033603345233</v>
      </c>
    </row>
    <row r="61" spans="2:14" x14ac:dyDescent="0.45">
      <c r="B61" s="306">
        <f t="shared" si="8"/>
        <v>45809</v>
      </c>
      <c r="C61" s="303">
        <f t="shared" si="9"/>
        <v>84203.612044438516</v>
      </c>
      <c r="D61" s="303">
        <f t="shared" si="0"/>
        <v>8439.6699234351527</v>
      </c>
      <c r="E61" s="303">
        <f t="shared" si="1"/>
        <v>35.084838351849385</v>
      </c>
      <c r="F61" s="303">
        <f t="shared" si="2"/>
        <v>8404.5850850833031</v>
      </c>
      <c r="G61" s="307">
        <f t="shared" si="3"/>
        <v>75799.026959355208</v>
      </c>
      <c r="I61" s="306">
        <f t="shared" si="10"/>
        <v>46813</v>
      </c>
      <c r="J61" s="303">
        <f t="shared" si="11"/>
        <v>83507.033603345233</v>
      </c>
      <c r="K61" s="303">
        <f t="shared" si="4"/>
        <v>8354.5312444470965</v>
      </c>
      <c r="L61" s="303">
        <f t="shared" si="5"/>
        <v>6.9589194669454359</v>
      </c>
      <c r="M61" s="303">
        <f t="shared" si="6"/>
        <v>8347.5723249801504</v>
      </c>
      <c r="N61" s="307">
        <f t="shared" si="7"/>
        <v>75159.461278365081</v>
      </c>
    </row>
    <row r="62" spans="2:14" x14ac:dyDescent="0.45">
      <c r="B62" s="306">
        <f t="shared" si="8"/>
        <v>45839</v>
      </c>
      <c r="C62" s="303">
        <f t="shared" si="9"/>
        <v>75799.026959355208</v>
      </c>
      <c r="D62" s="303">
        <f t="shared" si="0"/>
        <v>8439.6699234351527</v>
      </c>
      <c r="E62" s="303">
        <f t="shared" si="1"/>
        <v>31.582927899731335</v>
      </c>
      <c r="F62" s="303">
        <f t="shared" si="2"/>
        <v>8408.086995535421</v>
      </c>
      <c r="G62" s="307">
        <f t="shared" si="3"/>
        <v>67390.939963819779</v>
      </c>
      <c r="I62" s="306">
        <f t="shared" si="10"/>
        <v>46844</v>
      </c>
      <c r="J62" s="303">
        <f t="shared" si="11"/>
        <v>75159.461278365081</v>
      </c>
      <c r="K62" s="303">
        <f t="shared" si="4"/>
        <v>8354.5312444470965</v>
      </c>
      <c r="L62" s="303">
        <f t="shared" si="5"/>
        <v>6.2632884398637572</v>
      </c>
      <c r="M62" s="303">
        <f t="shared" si="6"/>
        <v>8348.267956007232</v>
      </c>
      <c r="N62" s="307">
        <f t="shared" si="7"/>
        <v>66811.193322357853</v>
      </c>
    </row>
    <row r="63" spans="2:14" x14ac:dyDescent="0.45">
      <c r="B63" s="306">
        <f t="shared" si="8"/>
        <v>45870</v>
      </c>
      <c r="C63" s="303">
        <f t="shared" si="9"/>
        <v>67390.939963819779</v>
      </c>
      <c r="D63" s="303">
        <f t="shared" si="0"/>
        <v>8439.6699234351527</v>
      </c>
      <c r="E63" s="303">
        <f t="shared" si="1"/>
        <v>28.07955831825824</v>
      </c>
      <c r="F63" s="303">
        <f t="shared" si="2"/>
        <v>8411.5903651168937</v>
      </c>
      <c r="G63" s="307">
        <f t="shared" si="3"/>
        <v>58979.349598702887</v>
      </c>
      <c r="I63" s="306">
        <f t="shared" si="10"/>
        <v>46874</v>
      </c>
      <c r="J63" s="303">
        <f t="shared" si="11"/>
        <v>66811.193322357853</v>
      </c>
      <c r="K63" s="303">
        <f t="shared" si="4"/>
        <v>8354.5312444470965</v>
      </c>
      <c r="L63" s="303">
        <f t="shared" si="5"/>
        <v>5.5675994435298213</v>
      </c>
      <c r="M63" s="303">
        <f t="shared" si="6"/>
        <v>8348.9636450035669</v>
      </c>
      <c r="N63" s="307">
        <f t="shared" si="7"/>
        <v>58462.229677354284</v>
      </c>
    </row>
    <row r="64" spans="2:14" x14ac:dyDescent="0.45">
      <c r="B64" s="306">
        <f t="shared" si="8"/>
        <v>45901</v>
      </c>
      <c r="C64" s="303">
        <f t="shared" si="9"/>
        <v>58979.349598702887</v>
      </c>
      <c r="D64" s="303">
        <f t="shared" si="0"/>
        <v>8439.6699234351527</v>
      </c>
      <c r="E64" s="303">
        <f t="shared" si="1"/>
        <v>24.574728999459538</v>
      </c>
      <c r="F64" s="303">
        <f t="shared" si="2"/>
        <v>8415.095194435693</v>
      </c>
      <c r="G64" s="307">
        <f t="shared" si="3"/>
        <v>50564.254404267194</v>
      </c>
      <c r="I64" s="306">
        <f t="shared" si="10"/>
        <v>46905</v>
      </c>
      <c r="J64" s="303">
        <f t="shared" si="11"/>
        <v>58462.229677354284</v>
      </c>
      <c r="K64" s="303">
        <f t="shared" si="4"/>
        <v>8354.5312444470965</v>
      </c>
      <c r="L64" s="303">
        <f t="shared" si="5"/>
        <v>4.871852473112857</v>
      </c>
      <c r="M64" s="303">
        <f t="shared" si="6"/>
        <v>8349.6593919739844</v>
      </c>
      <c r="N64" s="307">
        <f t="shared" si="7"/>
        <v>50112.570285380301</v>
      </c>
    </row>
    <row r="65" spans="2:14" x14ac:dyDescent="0.45">
      <c r="B65" s="306">
        <f t="shared" si="8"/>
        <v>45931</v>
      </c>
      <c r="C65" s="303">
        <f t="shared" si="9"/>
        <v>50564.254404267194</v>
      </c>
      <c r="D65" s="303">
        <f t="shared" si="0"/>
        <v>8439.6699234351527</v>
      </c>
      <c r="E65" s="303">
        <f t="shared" si="1"/>
        <v>21.068439335111332</v>
      </c>
      <c r="F65" s="303">
        <f t="shared" si="2"/>
        <v>8418.6014841000415</v>
      </c>
      <c r="G65" s="307">
        <f t="shared" si="3"/>
        <v>42145.652920167151</v>
      </c>
      <c r="I65" s="306">
        <f t="shared" si="10"/>
        <v>46935</v>
      </c>
      <c r="J65" s="303">
        <f t="shared" si="11"/>
        <v>50112.570285380301</v>
      </c>
      <c r="K65" s="303">
        <f t="shared" si="4"/>
        <v>8354.5312444470965</v>
      </c>
      <c r="L65" s="303">
        <f t="shared" si="5"/>
        <v>4.1760475237816914</v>
      </c>
      <c r="M65" s="303">
        <f t="shared" si="6"/>
        <v>8350.355196923314</v>
      </c>
      <c r="N65" s="307">
        <f t="shared" si="7"/>
        <v>41762.215088456986</v>
      </c>
    </row>
    <row r="66" spans="2:14" x14ac:dyDescent="0.45">
      <c r="B66" s="306">
        <f t="shared" si="8"/>
        <v>45962</v>
      </c>
      <c r="C66" s="303">
        <f t="shared" si="9"/>
        <v>42145.652920167151</v>
      </c>
      <c r="D66" s="303">
        <f t="shared" si="0"/>
        <v>8439.6699234351527</v>
      </c>
      <c r="E66" s="303">
        <f t="shared" si="1"/>
        <v>17.560688716736312</v>
      </c>
      <c r="F66" s="303">
        <f t="shared" si="2"/>
        <v>8422.1092347184167</v>
      </c>
      <c r="G66" s="307">
        <f t="shared" si="3"/>
        <v>33723.543685448734</v>
      </c>
      <c r="I66" s="306">
        <f t="shared" si="10"/>
        <v>46966</v>
      </c>
      <c r="J66" s="303">
        <f t="shared" si="11"/>
        <v>41762.215088456986</v>
      </c>
      <c r="K66" s="303">
        <f t="shared" si="4"/>
        <v>8354.5312444470965</v>
      </c>
      <c r="L66" s="303">
        <f t="shared" si="5"/>
        <v>3.4801845907047486</v>
      </c>
      <c r="M66" s="303">
        <f t="shared" si="6"/>
        <v>8351.0510598563924</v>
      </c>
      <c r="N66" s="307">
        <f t="shared" si="7"/>
        <v>33411.164028600593</v>
      </c>
    </row>
    <row r="67" spans="2:14" x14ac:dyDescent="0.45">
      <c r="B67" s="306">
        <f t="shared" si="8"/>
        <v>45992</v>
      </c>
      <c r="C67" s="303">
        <f t="shared" si="9"/>
        <v>33723.543685448734</v>
      </c>
      <c r="D67" s="303">
        <f t="shared" si="0"/>
        <v>8439.6699234351527</v>
      </c>
      <c r="E67" s="303">
        <f t="shared" si="1"/>
        <v>14.051476535603641</v>
      </c>
      <c r="F67" s="303">
        <f t="shared" si="2"/>
        <v>8425.6184468995489</v>
      </c>
      <c r="G67" s="307">
        <f t="shared" si="3"/>
        <v>25297.925238549185</v>
      </c>
      <c r="I67" s="306">
        <f t="shared" si="10"/>
        <v>46997</v>
      </c>
      <c r="J67" s="303">
        <f t="shared" si="11"/>
        <v>33411.164028600593</v>
      </c>
      <c r="K67" s="303">
        <f t="shared" si="4"/>
        <v>8354.5312444470965</v>
      </c>
      <c r="L67" s="303">
        <f t="shared" si="5"/>
        <v>2.7842636690500497</v>
      </c>
      <c r="M67" s="303">
        <f t="shared" si="6"/>
        <v>8351.7469807780471</v>
      </c>
      <c r="N67" s="307">
        <f t="shared" si="7"/>
        <v>25059.417047822546</v>
      </c>
    </row>
    <row r="68" spans="2:14" x14ac:dyDescent="0.45">
      <c r="B68" s="306">
        <f t="shared" si="8"/>
        <v>46023</v>
      </c>
      <c r="C68" s="303">
        <f t="shared" si="9"/>
        <v>25297.925238549185</v>
      </c>
      <c r="D68" s="303">
        <f t="shared" si="0"/>
        <v>8439.6699234351527</v>
      </c>
      <c r="E68" s="303">
        <f t="shared" si="1"/>
        <v>10.540802182728827</v>
      </c>
      <c r="F68" s="303">
        <f t="shared" si="2"/>
        <v>8429.1291212524247</v>
      </c>
      <c r="G68" s="307">
        <f t="shared" si="3"/>
        <v>16868.796117296763</v>
      </c>
      <c r="I68" s="306">
        <f t="shared" si="10"/>
        <v>47027</v>
      </c>
      <c r="J68" s="303">
        <f t="shared" si="11"/>
        <v>25059.417047822546</v>
      </c>
      <c r="K68" s="303">
        <f t="shared" si="4"/>
        <v>8354.5312444470965</v>
      </c>
      <c r="L68" s="303">
        <f t="shared" si="5"/>
        <v>2.0882847539852123</v>
      </c>
      <c r="M68" s="303">
        <f t="shared" si="6"/>
        <v>8352.4429596931113</v>
      </c>
      <c r="N68" s="307">
        <f t="shared" si="7"/>
        <v>16706.974088129435</v>
      </c>
    </row>
    <row r="69" spans="2:14" x14ac:dyDescent="0.45">
      <c r="B69" s="306">
        <f t="shared" si="8"/>
        <v>46054</v>
      </c>
      <c r="C69" s="303">
        <f t="shared" si="9"/>
        <v>16868.796117296763</v>
      </c>
      <c r="D69" s="303">
        <f t="shared" si="0"/>
        <v>8439.6699234351527</v>
      </c>
      <c r="E69" s="303">
        <f t="shared" si="1"/>
        <v>7.0286650488736511</v>
      </c>
      <c r="F69" s="303">
        <f t="shared" si="2"/>
        <v>8432.6412583862784</v>
      </c>
      <c r="G69" s="307">
        <f t="shared" si="3"/>
        <v>8436.1548589104841</v>
      </c>
      <c r="I69" s="306">
        <f t="shared" si="10"/>
        <v>47058</v>
      </c>
      <c r="J69" s="303">
        <f t="shared" si="11"/>
        <v>16706.974088129435</v>
      </c>
      <c r="K69" s="303">
        <f t="shared" si="4"/>
        <v>8354.5312444470965</v>
      </c>
      <c r="L69" s="303">
        <f t="shared" si="5"/>
        <v>1.392247840677453</v>
      </c>
      <c r="M69" s="303">
        <f t="shared" si="6"/>
        <v>8353.1389966064198</v>
      </c>
      <c r="N69" s="307">
        <f t="shared" si="7"/>
        <v>8353.8350915230149</v>
      </c>
    </row>
    <row r="70" spans="2:14" x14ac:dyDescent="0.45">
      <c r="B70" s="306">
        <f t="shared" si="8"/>
        <v>46082</v>
      </c>
      <c r="C70" s="303">
        <f t="shared" si="9"/>
        <v>8436.1548589104841</v>
      </c>
      <c r="D70" s="303">
        <f t="shared" si="0"/>
        <v>8439.6699234351527</v>
      </c>
      <c r="E70" s="303">
        <f t="shared" si="1"/>
        <v>3.5150645245460352</v>
      </c>
      <c r="F70" s="303">
        <f t="shared" si="2"/>
        <v>8436.154858910606</v>
      </c>
      <c r="G70" s="307">
        <f t="shared" si="3"/>
        <v>-1.2187229003757238E-10</v>
      </c>
      <c r="I70" s="306">
        <f t="shared" si="10"/>
        <v>47088</v>
      </c>
      <c r="J70" s="303">
        <f t="shared" si="11"/>
        <v>8353.8350915230149</v>
      </c>
      <c r="K70" s="303">
        <f t="shared" si="4"/>
        <v>8354.5312444470965</v>
      </c>
      <c r="L70" s="303">
        <f t="shared" si="5"/>
        <v>0.69615292429358455</v>
      </c>
      <c r="M70" s="303">
        <f t="shared" si="6"/>
        <v>8353.835091522802</v>
      </c>
      <c r="N70" s="307">
        <f t="shared" si="7"/>
        <v>2.1282176021486521E-10</v>
      </c>
    </row>
    <row r="71" spans="2:14" x14ac:dyDescent="0.45">
      <c r="B71" s="306">
        <f t="shared" si="8"/>
        <v>46113</v>
      </c>
      <c r="C71" s="303">
        <f t="shared" si="9"/>
        <v>-1.2187229003757238E-10</v>
      </c>
      <c r="D71" s="303">
        <f t="shared" si="0"/>
        <v>0</v>
      </c>
      <c r="E71" s="303">
        <f t="shared" si="1"/>
        <v>0</v>
      </c>
      <c r="F71" s="303">
        <f t="shared" si="2"/>
        <v>0</v>
      </c>
      <c r="G71" s="307">
        <f t="shared" si="3"/>
        <v>-1.2187229003757238E-10</v>
      </c>
      <c r="I71" s="306">
        <f t="shared" si="10"/>
        <v>47119</v>
      </c>
      <c r="J71" s="303">
        <f t="shared" si="11"/>
        <v>2.1282176021486521E-10</v>
      </c>
      <c r="K71" s="303">
        <f t="shared" si="4"/>
        <v>0</v>
      </c>
      <c r="L71" s="303">
        <f t="shared" si="5"/>
        <v>0</v>
      </c>
      <c r="M71" s="303">
        <f t="shared" si="6"/>
        <v>0</v>
      </c>
      <c r="N71" s="307">
        <f t="shared" si="7"/>
        <v>2.1282176021486521E-10</v>
      </c>
    </row>
    <row r="72" spans="2:14" x14ac:dyDescent="0.45">
      <c r="B72" s="306">
        <f t="shared" si="8"/>
        <v>46143</v>
      </c>
      <c r="C72" s="303">
        <f t="shared" si="9"/>
        <v>-1.2187229003757238E-10</v>
      </c>
      <c r="D72" s="303">
        <f t="shared" si="0"/>
        <v>0</v>
      </c>
      <c r="E72" s="303">
        <f t="shared" si="1"/>
        <v>0</v>
      </c>
      <c r="F72" s="303">
        <f t="shared" si="2"/>
        <v>0</v>
      </c>
      <c r="G72" s="307">
        <f t="shared" si="3"/>
        <v>-1.2187229003757238E-10</v>
      </c>
      <c r="I72" s="306">
        <f t="shared" si="10"/>
        <v>47150</v>
      </c>
      <c r="J72" s="303">
        <f t="shared" si="11"/>
        <v>2.1282176021486521E-10</v>
      </c>
      <c r="K72" s="303">
        <f t="shared" si="4"/>
        <v>0</v>
      </c>
      <c r="L72" s="303">
        <f t="shared" si="5"/>
        <v>0</v>
      </c>
      <c r="M72" s="303">
        <f t="shared" si="6"/>
        <v>0</v>
      </c>
      <c r="N72" s="307">
        <f t="shared" si="7"/>
        <v>2.1282176021486521E-10</v>
      </c>
    </row>
    <row r="73" spans="2:14" x14ac:dyDescent="0.45">
      <c r="B73" s="306">
        <f t="shared" si="8"/>
        <v>46174</v>
      </c>
      <c r="C73" s="303">
        <f t="shared" si="9"/>
        <v>-1.2187229003757238E-10</v>
      </c>
      <c r="D73" s="303">
        <f t="shared" si="0"/>
        <v>0</v>
      </c>
      <c r="E73" s="303">
        <f t="shared" si="1"/>
        <v>0</v>
      </c>
      <c r="F73" s="303">
        <f t="shared" si="2"/>
        <v>0</v>
      </c>
      <c r="G73" s="307">
        <f t="shared" si="3"/>
        <v>-1.2187229003757238E-10</v>
      </c>
      <c r="I73" s="306">
        <f t="shared" si="10"/>
        <v>47178</v>
      </c>
      <c r="J73" s="303">
        <f t="shared" si="11"/>
        <v>2.1282176021486521E-10</v>
      </c>
      <c r="K73" s="303">
        <f t="shared" si="4"/>
        <v>0</v>
      </c>
      <c r="L73" s="303">
        <f t="shared" si="5"/>
        <v>0</v>
      </c>
      <c r="M73" s="303">
        <f t="shared" si="6"/>
        <v>0</v>
      </c>
      <c r="N73" s="307">
        <f t="shared" si="7"/>
        <v>2.1282176021486521E-10</v>
      </c>
    </row>
    <row r="74" spans="2:14" x14ac:dyDescent="0.45">
      <c r="B74" s="306">
        <f t="shared" si="8"/>
        <v>46204</v>
      </c>
      <c r="C74" s="303">
        <f t="shared" si="9"/>
        <v>-1.2187229003757238E-10</v>
      </c>
      <c r="D74" s="303">
        <f t="shared" si="0"/>
        <v>0</v>
      </c>
      <c r="E74" s="303">
        <f t="shared" si="1"/>
        <v>0</v>
      </c>
      <c r="F74" s="303">
        <f t="shared" si="2"/>
        <v>0</v>
      </c>
      <c r="G74" s="307">
        <f t="shared" si="3"/>
        <v>-1.2187229003757238E-10</v>
      </c>
      <c r="I74" s="306">
        <f t="shared" si="10"/>
        <v>47209</v>
      </c>
      <c r="J74" s="303">
        <f t="shared" si="11"/>
        <v>2.1282176021486521E-10</v>
      </c>
      <c r="K74" s="303">
        <f t="shared" si="4"/>
        <v>0</v>
      </c>
      <c r="L74" s="303">
        <f t="shared" si="5"/>
        <v>0</v>
      </c>
      <c r="M74" s="303">
        <f t="shared" si="6"/>
        <v>0</v>
      </c>
      <c r="N74" s="307">
        <f t="shared" si="7"/>
        <v>2.1282176021486521E-10</v>
      </c>
    </row>
    <row r="75" spans="2:14" x14ac:dyDescent="0.45">
      <c r="B75" s="306">
        <f t="shared" si="8"/>
        <v>46235</v>
      </c>
      <c r="C75" s="303">
        <f t="shared" si="9"/>
        <v>-1.2187229003757238E-10</v>
      </c>
      <c r="D75" s="303">
        <f t="shared" si="0"/>
        <v>0</v>
      </c>
      <c r="E75" s="303">
        <f t="shared" si="1"/>
        <v>0</v>
      </c>
      <c r="F75" s="303">
        <f t="shared" si="2"/>
        <v>0</v>
      </c>
      <c r="G75" s="307">
        <f t="shared" si="3"/>
        <v>-1.2187229003757238E-10</v>
      </c>
      <c r="I75" s="306">
        <f t="shared" si="10"/>
        <v>47239</v>
      </c>
      <c r="J75" s="303">
        <f t="shared" si="11"/>
        <v>2.1282176021486521E-10</v>
      </c>
      <c r="K75" s="303">
        <f t="shared" si="4"/>
        <v>0</v>
      </c>
      <c r="L75" s="303">
        <f t="shared" si="5"/>
        <v>0</v>
      </c>
      <c r="M75" s="303">
        <f t="shared" si="6"/>
        <v>0</v>
      </c>
      <c r="N75" s="307">
        <f t="shared" si="7"/>
        <v>2.1282176021486521E-10</v>
      </c>
    </row>
    <row r="76" spans="2:14" x14ac:dyDescent="0.45">
      <c r="B76" s="306">
        <f t="shared" si="8"/>
        <v>46266</v>
      </c>
      <c r="C76" s="303">
        <f t="shared" si="9"/>
        <v>-1.2187229003757238E-10</v>
      </c>
      <c r="D76" s="303">
        <f t="shared" ref="D76:D139" si="12">IF(ROUNDDOWN(C76,0)=0,0,PMT($E$4/12,$E$7,-$E$8)+$E$5)</f>
        <v>0</v>
      </c>
      <c r="E76" s="303">
        <f t="shared" ref="E76:E139" si="13">IF(ROUNDDOWN(C76,0)=0,0,(C76*$E$4/12)+$E$5)</f>
        <v>0</v>
      </c>
      <c r="F76" s="303">
        <f t="shared" ref="F76:F139" si="14">D76-E76</f>
        <v>0</v>
      </c>
      <c r="G76" s="307">
        <f t="shared" ref="G76:G139" si="15">C76-F76</f>
        <v>-1.2187229003757238E-10</v>
      </c>
      <c r="I76" s="306">
        <f t="shared" si="10"/>
        <v>47270</v>
      </c>
      <c r="J76" s="303">
        <f t="shared" si="11"/>
        <v>2.1282176021486521E-10</v>
      </c>
      <c r="K76" s="303">
        <f t="shared" ref="K76:K139" si="16">IF(ROUNDDOWN(J76,0)=0,0,PMT($L$4/12,$L$7,-$L$8)+$L$5)</f>
        <v>0</v>
      </c>
      <c r="L76" s="303">
        <f t="shared" ref="L76:L139" si="17">IF(ROUNDDOWN(J76,0)=0,0,(J76*$L$4/12)+$L$5)</f>
        <v>0</v>
      </c>
      <c r="M76" s="303">
        <f t="shared" ref="M76:M139" si="18">K76-L76</f>
        <v>0</v>
      </c>
      <c r="N76" s="307">
        <f t="shared" ref="N76:N139" si="19">J76-M76</f>
        <v>2.1282176021486521E-10</v>
      </c>
    </row>
    <row r="77" spans="2:14" x14ac:dyDescent="0.45">
      <c r="B77" s="306">
        <f t="shared" ref="B77:B140" si="20">EDATE(B76,1)</f>
        <v>46296</v>
      </c>
      <c r="C77" s="303">
        <f t="shared" ref="C77:C140" si="21">G76</f>
        <v>-1.2187229003757238E-10</v>
      </c>
      <c r="D77" s="303">
        <f t="shared" si="12"/>
        <v>0</v>
      </c>
      <c r="E77" s="303">
        <f t="shared" si="13"/>
        <v>0</v>
      </c>
      <c r="F77" s="303">
        <f t="shared" si="14"/>
        <v>0</v>
      </c>
      <c r="G77" s="307">
        <f t="shared" si="15"/>
        <v>-1.2187229003757238E-10</v>
      </c>
      <c r="I77" s="306">
        <f t="shared" ref="I77:I140" si="22">EDATE(I76,1)</f>
        <v>47300</v>
      </c>
      <c r="J77" s="303">
        <f t="shared" ref="J77:J140" si="23">N76</f>
        <v>2.1282176021486521E-10</v>
      </c>
      <c r="K77" s="303">
        <f t="shared" si="16"/>
        <v>0</v>
      </c>
      <c r="L77" s="303">
        <f t="shared" si="17"/>
        <v>0</v>
      </c>
      <c r="M77" s="303">
        <f t="shared" si="18"/>
        <v>0</v>
      </c>
      <c r="N77" s="307">
        <f t="shared" si="19"/>
        <v>2.1282176021486521E-10</v>
      </c>
    </row>
    <row r="78" spans="2:14" x14ac:dyDescent="0.45">
      <c r="B78" s="306">
        <f t="shared" si="20"/>
        <v>46327</v>
      </c>
      <c r="C78" s="303">
        <f t="shared" si="21"/>
        <v>-1.2187229003757238E-10</v>
      </c>
      <c r="D78" s="303">
        <f t="shared" si="12"/>
        <v>0</v>
      </c>
      <c r="E78" s="303">
        <f t="shared" si="13"/>
        <v>0</v>
      </c>
      <c r="F78" s="303">
        <f t="shared" si="14"/>
        <v>0</v>
      </c>
      <c r="G78" s="307">
        <f t="shared" si="15"/>
        <v>-1.2187229003757238E-10</v>
      </c>
      <c r="I78" s="306">
        <f t="shared" si="22"/>
        <v>47331</v>
      </c>
      <c r="J78" s="303">
        <f t="shared" si="23"/>
        <v>2.1282176021486521E-10</v>
      </c>
      <c r="K78" s="303">
        <f t="shared" si="16"/>
        <v>0</v>
      </c>
      <c r="L78" s="303">
        <f t="shared" si="17"/>
        <v>0</v>
      </c>
      <c r="M78" s="303">
        <f t="shared" si="18"/>
        <v>0</v>
      </c>
      <c r="N78" s="307">
        <f t="shared" si="19"/>
        <v>2.1282176021486521E-10</v>
      </c>
    </row>
    <row r="79" spans="2:14" x14ac:dyDescent="0.45">
      <c r="B79" s="306">
        <f t="shared" si="20"/>
        <v>46357</v>
      </c>
      <c r="C79" s="303">
        <f t="shared" si="21"/>
        <v>-1.2187229003757238E-10</v>
      </c>
      <c r="D79" s="303">
        <f t="shared" si="12"/>
        <v>0</v>
      </c>
      <c r="E79" s="303">
        <f t="shared" si="13"/>
        <v>0</v>
      </c>
      <c r="F79" s="303">
        <f t="shared" si="14"/>
        <v>0</v>
      </c>
      <c r="G79" s="307">
        <f t="shared" si="15"/>
        <v>-1.2187229003757238E-10</v>
      </c>
      <c r="I79" s="306">
        <f t="shared" si="22"/>
        <v>47362</v>
      </c>
      <c r="J79" s="303">
        <f t="shared" si="23"/>
        <v>2.1282176021486521E-10</v>
      </c>
      <c r="K79" s="303">
        <f t="shared" si="16"/>
        <v>0</v>
      </c>
      <c r="L79" s="303">
        <f t="shared" si="17"/>
        <v>0</v>
      </c>
      <c r="M79" s="303">
        <f t="shared" si="18"/>
        <v>0</v>
      </c>
      <c r="N79" s="307">
        <f t="shared" si="19"/>
        <v>2.1282176021486521E-10</v>
      </c>
    </row>
    <row r="80" spans="2:14" x14ac:dyDescent="0.45">
      <c r="B80" s="306">
        <f t="shared" si="20"/>
        <v>46388</v>
      </c>
      <c r="C80" s="303">
        <f t="shared" si="21"/>
        <v>-1.2187229003757238E-10</v>
      </c>
      <c r="D80" s="303">
        <f t="shared" si="12"/>
        <v>0</v>
      </c>
      <c r="E80" s="303">
        <f t="shared" si="13"/>
        <v>0</v>
      </c>
      <c r="F80" s="303">
        <f t="shared" si="14"/>
        <v>0</v>
      </c>
      <c r="G80" s="307">
        <f t="shared" si="15"/>
        <v>-1.2187229003757238E-10</v>
      </c>
      <c r="I80" s="306">
        <f t="shared" si="22"/>
        <v>47392</v>
      </c>
      <c r="J80" s="303">
        <f t="shared" si="23"/>
        <v>2.1282176021486521E-10</v>
      </c>
      <c r="K80" s="303">
        <f t="shared" si="16"/>
        <v>0</v>
      </c>
      <c r="L80" s="303">
        <f t="shared" si="17"/>
        <v>0</v>
      </c>
      <c r="M80" s="303">
        <f t="shared" si="18"/>
        <v>0</v>
      </c>
      <c r="N80" s="307">
        <f t="shared" si="19"/>
        <v>2.1282176021486521E-10</v>
      </c>
    </row>
    <row r="81" spans="2:14" x14ac:dyDescent="0.45">
      <c r="B81" s="306">
        <f t="shared" si="20"/>
        <v>46419</v>
      </c>
      <c r="C81" s="303">
        <f t="shared" si="21"/>
        <v>-1.2187229003757238E-10</v>
      </c>
      <c r="D81" s="303">
        <f t="shared" si="12"/>
        <v>0</v>
      </c>
      <c r="E81" s="303">
        <f t="shared" si="13"/>
        <v>0</v>
      </c>
      <c r="F81" s="303">
        <f t="shared" si="14"/>
        <v>0</v>
      </c>
      <c r="G81" s="307">
        <f t="shared" si="15"/>
        <v>-1.2187229003757238E-10</v>
      </c>
      <c r="I81" s="306">
        <f t="shared" si="22"/>
        <v>47423</v>
      </c>
      <c r="J81" s="303">
        <f t="shared" si="23"/>
        <v>2.1282176021486521E-10</v>
      </c>
      <c r="K81" s="303">
        <f t="shared" si="16"/>
        <v>0</v>
      </c>
      <c r="L81" s="303">
        <f t="shared" si="17"/>
        <v>0</v>
      </c>
      <c r="M81" s="303">
        <f t="shared" si="18"/>
        <v>0</v>
      </c>
      <c r="N81" s="307">
        <f t="shared" si="19"/>
        <v>2.1282176021486521E-10</v>
      </c>
    </row>
    <row r="82" spans="2:14" x14ac:dyDescent="0.45">
      <c r="B82" s="306">
        <f t="shared" si="20"/>
        <v>46447</v>
      </c>
      <c r="C82" s="303">
        <f t="shared" si="21"/>
        <v>-1.2187229003757238E-10</v>
      </c>
      <c r="D82" s="303">
        <f t="shared" si="12"/>
        <v>0</v>
      </c>
      <c r="E82" s="303">
        <f t="shared" si="13"/>
        <v>0</v>
      </c>
      <c r="F82" s="303">
        <f t="shared" si="14"/>
        <v>0</v>
      </c>
      <c r="G82" s="307">
        <f t="shared" si="15"/>
        <v>-1.2187229003757238E-10</v>
      </c>
      <c r="I82" s="306">
        <f t="shared" si="22"/>
        <v>47453</v>
      </c>
      <c r="J82" s="303">
        <f t="shared" si="23"/>
        <v>2.1282176021486521E-10</v>
      </c>
      <c r="K82" s="303">
        <f t="shared" si="16"/>
        <v>0</v>
      </c>
      <c r="L82" s="303">
        <f t="shared" si="17"/>
        <v>0</v>
      </c>
      <c r="M82" s="303">
        <f t="shared" si="18"/>
        <v>0</v>
      </c>
      <c r="N82" s="307">
        <f t="shared" si="19"/>
        <v>2.1282176021486521E-10</v>
      </c>
    </row>
    <row r="83" spans="2:14" x14ac:dyDescent="0.45">
      <c r="B83" s="306">
        <f t="shared" si="20"/>
        <v>46478</v>
      </c>
      <c r="C83" s="303">
        <f t="shared" si="21"/>
        <v>-1.2187229003757238E-10</v>
      </c>
      <c r="D83" s="303">
        <f t="shared" si="12"/>
        <v>0</v>
      </c>
      <c r="E83" s="303">
        <f t="shared" si="13"/>
        <v>0</v>
      </c>
      <c r="F83" s="303">
        <f t="shared" si="14"/>
        <v>0</v>
      </c>
      <c r="G83" s="307">
        <f t="shared" si="15"/>
        <v>-1.2187229003757238E-10</v>
      </c>
      <c r="I83" s="306">
        <f t="shared" si="22"/>
        <v>47484</v>
      </c>
      <c r="J83" s="303">
        <f t="shared" si="23"/>
        <v>2.1282176021486521E-10</v>
      </c>
      <c r="K83" s="303">
        <f t="shared" si="16"/>
        <v>0</v>
      </c>
      <c r="L83" s="303">
        <f t="shared" si="17"/>
        <v>0</v>
      </c>
      <c r="M83" s="303">
        <f t="shared" si="18"/>
        <v>0</v>
      </c>
      <c r="N83" s="307">
        <f t="shared" si="19"/>
        <v>2.1282176021486521E-10</v>
      </c>
    </row>
    <row r="84" spans="2:14" x14ac:dyDescent="0.45">
      <c r="B84" s="306">
        <f t="shared" si="20"/>
        <v>46508</v>
      </c>
      <c r="C84" s="303">
        <f t="shared" si="21"/>
        <v>-1.2187229003757238E-10</v>
      </c>
      <c r="D84" s="303">
        <f t="shared" si="12"/>
        <v>0</v>
      </c>
      <c r="E84" s="303">
        <f t="shared" si="13"/>
        <v>0</v>
      </c>
      <c r="F84" s="303">
        <f t="shared" si="14"/>
        <v>0</v>
      </c>
      <c r="G84" s="307">
        <f t="shared" si="15"/>
        <v>-1.2187229003757238E-10</v>
      </c>
      <c r="I84" s="306">
        <f t="shared" si="22"/>
        <v>47515</v>
      </c>
      <c r="J84" s="303">
        <f t="shared" si="23"/>
        <v>2.1282176021486521E-10</v>
      </c>
      <c r="K84" s="303">
        <f t="shared" si="16"/>
        <v>0</v>
      </c>
      <c r="L84" s="303">
        <f t="shared" si="17"/>
        <v>0</v>
      </c>
      <c r="M84" s="303">
        <f t="shared" si="18"/>
        <v>0</v>
      </c>
      <c r="N84" s="307">
        <f t="shared" si="19"/>
        <v>2.1282176021486521E-10</v>
      </c>
    </row>
    <row r="85" spans="2:14" x14ac:dyDescent="0.45">
      <c r="B85" s="306">
        <f t="shared" si="20"/>
        <v>46539</v>
      </c>
      <c r="C85" s="303">
        <f t="shared" si="21"/>
        <v>-1.2187229003757238E-10</v>
      </c>
      <c r="D85" s="303">
        <f t="shared" si="12"/>
        <v>0</v>
      </c>
      <c r="E85" s="303">
        <f t="shared" si="13"/>
        <v>0</v>
      </c>
      <c r="F85" s="303">
        <f t="shared" si="14"/>
        <v>0</v>
      </c>
      <c r="G85" s="307">
        <f t="shared" si="15"/>
        <v>-1.2187229003757238E-10</v>
      </c>
      <c r="I85" s="306">
        <f t="shared" si="22"/>
        <v>47543</v>
      </c>
      <c r="J85" s="303">
        <f t="shared" si="23"/>
        <v>2.1282176021486521E-10</v>
      </c>
      <c r="K85" s="303">
        <f t="shared" si="16"/>
        <v>0</v>
      </c>
      <c r="L85" s="303">
        <f t="shared" si="17"/>
        <v>0</v>
      </c>
      <c r="M85" s="303">
        <f t="shared" si="18"/>
        <v>0</v>
      </c>
      <c r="N85" s="307">
        <f t="shared" si="19"/>
        <v>2.1282176021486521E-10</v>
      </c>
    </row>
    <row r="86" spans="2:14" x14ac:dyDescent="0.45">
      <c r="B86" s="306">
        <f t="shared" si="20"/>
        <v>46569</v>
      </c>
      <c r="C86" s="303">
        <f t="shared" si="21"/>
        <v>-1.2187229003757238E-10</v>
      </c>
      <c r="D86" s="303">
        <f t="shared" si="12"/>
        <v>0</v>
      </c>
      <c r="E86" s="303">
        <f t="shared" si="13"/>
        <v>0</v>
      </c>
      <c r="F86" s="303">
        <f t="shared" si="14"/>
        <v>0</v>
      </c>
      <c r="G86" s="307">
        <f t="shared" si="15"/>
        <v>-1.2187229003757238E-10</v>
      </c>
      <c r="I86" s="306">
        <f t="shared" si="22"/>
        <v>47574</v>
      </c>
      <c r="J86" s="303">
        <f t="shared" si="23"/>
        <v>2.1282176021486521E-10</v>
      </c>
      <c r="K86" s="303">
        <f t="shared" si="16"/>
        <v>0</v>
      </c>
      <c r="L86" s="303">
        <f t="shared" si="17"/>
        <v>0</v>
      </c>
      <c r="M86" s="303">
        <f t="shared" si="18"/>
        <v>0</v>
      </c>
      <c r="N86" s="307">
        <f t="shared" si="19"/>
        <v>2.1282176021486521E-10</v>
      </c>
    </row>
    <row r="87" spans="2:14" x14ac:dyDescent="0.45">
      <c r="B87" s="306">
        <f t="shared" si="20"/>
        <v>46600</v>
      </c>
      <c r="C87" s="303">
        <f t="shared" si="21"/>
        <v>-1.2187229003757238E-10</v>
      </c>
      <c r="D87" s="303">
        <f t="shared" si="12"/>
        <v>0</v>
      </c>
      <c r="E87" s="303">
        <f t="shared" si="13"/>
        <v>0</v>
      </c>
      <c r="F87" s="303">
        <f t="shared" si="14"/>
        <v>0</v>
      </c>
      <c r="G87" s="307">
        <f t="shared" si="15"/>
        <v>-1.2187229003757238E-10</v>
      </c>
      <c r="I87" s="306">
        <f t="shared" si="22"/>
        <v>47604</v>
      </c>
      <c r="J87" s="303">
        <f t="shared" si="23"/>
        <v>2.1282176021486521E-10</v>
      </c>
      <c r="K87" s="303">
        <f t="shared" si="16"/>
        <v>0</v>
      </c>
      <c r="L87" s="303">
        <f t="shared" si="17"/>
        <v>0</v>
      </c>
      <c r="M87" s="303">
        <f t="shared" si="18"/>
        <v>0</v>
      </c>
      <c r="N87" s="307">
        <f t="shared" si="19"/>
        <v>2.1282176021486521E-10</v>
      </c>
    </row>
    <row r="88" spans="2:14" x14ac:dyDescent="0.45">
      <c r="B88" s="306">
        <f t="shared" si="20"/>
        <v>46631</v>
      </c>
      <c r="C88" s="303">
        <f t="shared" si="21"/>
        <v>-1.2187229003757238E-10</v>
      </c>
      <c r="D88" s="303">
        <f t="shared" si="12"/>
        <v>0</v>
      </c>
      <c r="E88" s="303">
        <f t="shared" si="13"/>
        <v>0</v>
      </c>
      <c r="F88" s="303">
        <f t="shared" si="14"/>
        <v>0</v>
      </c>
      <c r="G88" s="307">
        <f t="shared" si="15"/>
        <v>-1.2187229003757238E-10</v>
      </c>
      <c r="I88" s="306">
        <f t="shared" si="22"/>
        <v>47635</v>
      </c>
      <c r="J88" s="303">
        <f t="shared" si="23"/>
        <v>2.1282176021486521E-10</v>
      </c>
      <c r="K88" s="303">
        <f t="shared" si="16"/>
        <v>0</v>
      </c>
      <c r="L88" s="303">
        <f t="shared" si="17"/>
        <v>0</v>
      </c>
      <c r="M88" s="303">
        <f t="shared" si="18"/>
        <v>0</v>
      </c>
      <c r="N88" s="307">
        <f t="shared" si="19"/>
        <v>2.1282176021486521E-10</v>
      </c>
    </row>
    <row r="89" spans="2:14" x14ac:dyDescent="0.45">
      <c r="B89" s="306">
        <f t="shared" si="20"/>
        <v>46661</v>
      </c>
      <c r="C89" s="303">
        <f t="shared" si="21"/>
        <v>-1.2187229003757238E-10</v>
      </c>
      <c r="D89" s="303">
        <f t="shared" si="12"/>
        <v>0</v>
      </c>
      <c r="E89" s="303">
        <f t="shared" si="13"/>
        <v>0</v>
      </c>
      <c r="F89" s="303">
        <f t="shared" si="14"/>
        <v>0</v>
      </c>
      <c r="G89" s="307">
        <f t="shared" si="15"/>
        <v>-1.2187229003757238E-10</v>
      </c>
      <c r="I89" s="306">
        <f t="shared" si="22"/>
        <v>47665</v>
      </c>
      <c r="J89" s="303">
        <f t="shared" si="23"/>
        <v>2.1282176021486521E-10</v>
      </c>
      <c r="K89" s="303">
        <f t="shared" si="16"/>
        <v>0</v>
      </c>
      <c r="L89" s="303">
        <f t="shared" si="17"/>
        <v>0</v>
      </c>
      <c r="M89" s="303">
        <f t="shared" si="18"/>
        <v>0</v>
      </c>
      <c r="N89" s="307">
        <f t="shared" si="19"/>
        <v>2.1282176021486521E-10</v>
      </c>
    </row>
    <row r="90" spans="2:14" x14ac:dyDescent="0.45">
      <c r="B90" s="306">
        <f t="shared" si="20"/>
        <v>46692</v>
      </c>
      <c r="C90" s="303">
        <f t="shared" si="21"/>
        <v>-1.2187229003757238E-10</v>
      </c>
      <c r="D90" s="303">
        <f t="shared" si="12"/>
        <v>0</v>
      </c>
      <c r="E90" s="303">
        <f t="shared" si="13"/>
        <v>0</v>
      </c>
      <c r="F90" s="303">
        <f t="shared" si="14"/>
        <v>0</v>
      </c>
      <c r="G90" s="307">
        <f t="shared" si="15"/>
        <v>-1.2187229003757238E-10</v>
      </c>
      <c r="I90" s="306">
        <f t="shared" si="22"/>
        <v>47696</v>
      </c>
      <c r="J90" s="303">
        <f t="shared" si="23"/>
        <v>2.1282176021486521E-10</v>
      </c>
      <c r="K90" s="303">
        <f t="shared" si="16"/>
        <v>0</v>
      </c>
      <c r="L90" s="303">
        <f t="shared" si="17"/>
        <v>0</v>
      </c>
      <c r="M90" s="303">
        <f t="shared" si="18"/>
        <v>0</v>
      </c>
      <c r="N90" s="307">
        <f t="shared" si="19"/>
        <v>2.1282176021486521E-10</v>
      </c>
    </row>
    <row r="91" spans="2:14" x14ac:dyDescent="0.45">
      <c r="B91" s="306">
        <f t="shared" si="20"/>
        <v>46722</v>
      </c>
      <c r="C91" s="303">
        <f t="shared" si="21"/>
        <v>-1.2187229003757238E-10</v>
      </c>
      <c r="D91" s="303">
        <f t="shared" si="12"/>
        <v>0</v>
      </c>
      <c r="E91" s="303">
        <f t="shared" si="13"/>
        <v>0</v>
      </c>
      <c r="F91" s="303">
        <f t="shared" si="14"/>
        <v>0</v>
      </c>
      <c r="G91" s="307">
        <f t="shared" si="15"/>
        <v>-1.2187229003757238E-10</v>
      </c>
      <c r="I91" s="306">
        <f t="shared" si="22"/>
        <v>47727</v>
      </c>
      <c r="J91" s="303">
        <f t="shared" si="23"/>
        <v>2.1282176021486521E-10</v>
      </c>
      <c r="K91" s="303">
        <f t="shared" si="16"/>
        <v>0</v>
      </c>
      <c r="L91" s="303">
        <f t="shared" si="17"/>
        <v>0</v>
      </c>
      <c r="M91" s="303">
        <f t="shared" si="18"/>
        <v>0</v>
      </c>
      <c r="N91" s="307">
        <f t="shared" si="19"/>
        <v>2.1282176021486521E-10</v>
      </c>
    </row>
    <row r="92" spans="2:14" x14ac:dyDescent="0.45">
      <c r="B92" s="306">
        <f t="shared" si="20"/>
        <v>46753</v>
      </c>
      <c r="C92" s="303">
        <f t="shared" si="21"/>
        <v>-1.2187229003757238E-10</v>
      </c>
      <c r="D92" s="303">
        <f t="shared" si="12"/>
        <v>0</v>
      </c>
      <c r="E92" s="303">
        <f t="shared" si="13"/>
        <v>0</v>
      </c>
      <c r="F92" s="303">
        <f t="shared" si="14"/>
        <v>0</v>
      </c>
      <c r="G92" s="307">
        <f t="shared" si="15"/>
        <v>-1.2187229003757238E-10</v>
      </c>
      <c r="I92" s="306">
        <f t="shared" si="22"/>
        <v>47757</v>
      </c>
      <c r="J92" s="303">
        <f t="shared" si="23"/>
        <v>2.1282176021486521E-10</v>
      </c>
      <c r="K92" s="303">
        <f t="shared" si="16"/>
        <v>0</v>
      </c>
      <c r="L92" s="303">
        <f t="shared" si="17"/>
        <v>0</v>
      </c>
      <c r="M92" s="303">
        <f t="shared" si="18"/>
        <v>0</v>
      </c>
      <c r="N92" s="307">
        <f t="shared" si="19"/>
        <v>2.1282176021486521E-10</v>
      </c>
    </row>
    <row r="93" spans="2:14" x14ac:dyDescent="0.45">
      <c r="B93" s="306">
        <f t="shared" si="20"/>
        <v>46784</v>
      </c>
      <c r="C93" s="303">
        <f t="shared" si="21"/>
        <v>-1.2187229003757238E-10</v>
      </c>
      <c r="D93" s="303">
        <f t="shared" si="12"/>
        <v>0</v>
      </c>
      <c r="E93" s="303">
        <f t="shared" si="13"/>
        <v>0</v>
      </c>
      <c r="F93" s="303">
        <f t="shared" si="14"/>
        <v>0</v>
      </c>
      <c r="G93" s="307">
        <f t="shared" si="15"/>
        <v>-1.2187229003757238E-10</v>
      </c>
      <c r="I93" s="306">
        <f t="shared" si="22"/>
        <v>47788</v>
      </c>
      <c r="J93" s="303">
        <f t="shared" si="23"/>
        <v>2.1282176021486521E-10</v>
      </c>
      <c r="K93" s="303">
        <f t="shared" si="16"/>
        <v>0</v>
      </c>
      <c r="L93" s="303">
        <f t="shared" si="17"/>
        <v>0</v>
      </c>
      <c r="M93" s="303">
        <f t="shared" si="18"/>
        <v>0</v>
      </c>
      <c r="N93" s="307">
        <f t="shared" si="19"/>
        <v>2.1282176021486521E-10</v>
      </c>
    </row>
    <row r="94" spans="2:14" x14ac:dyDescent="0.45">
      <c r="B94" s="306">
        <f t="shared" si="20"/>
        <v>46813</v>
      </c>
      <c r="C94" s="303">
        <f t="shared" si="21"/>
        <v>-1.2187229003757238E-10</v>
      </c>
      <c r="D94" s="303">
        <f t="shared" si="12"/>
        <v>0</v>
      </c>
      <c r="E94" s="303">
        <f t="shared" si="13"/>
        <v>0</v>
      </c>
      <c r="F94" s="303">
        <f t="shared" si="14"/>
        <v>0</v>
      </c>
      <c r="G94" s="307">
        <f t="shared" si="15"/>
        <v>-1.2187229003757238E-10</v>
      </c>
      <c r="I94" s="306">
        <f t="shared" si="22"/>
        <v>47818</v>
      </c>
      <c r="J94" s="303">
        <f t="shared" si="23"/>
        <v>2.1282176021486521E-10</v>
      </c>
      <c r="K94" s="303">
        <f t="shared" si="16"/>
        <v>0</v>
      </c>
      <c r="L94" s="303">
        <f t="shared" si="17"/>
        <v>0</v>
      </c>
      <c r="M94" s="303">
        <f t="shared" si="18"/>
        <v>0</v>
      </c>
      <c r="N94" s="307">
        <f t="shared" si="19"/>
        <v>2.1282176021486521E-10</v>
      </c>
    </row>
    <row r="95" spans="2:14" x14ac:dyDescent="0.45">
      <c r="B95" s="306">
        <f t="shared" si="20"/>
        <v>46844</v>
      </c>
      <c r="C95" s="303">
        <f t="shared" si="21"/>
        <v>-1.2187229003757238E-10</v>
      </c>
      <c r="D95" s="303">
        <f t="shared" si="12"/>
        <v>0</v>
      </c>
      <c r="E95" s="303">
        <f t="shared" si="13"/>
        <v>0</v>
      </c>
      <c r="F95" s="303">
        <f t="shared" si="14"/>
        <v>0</v>
      </c>
      <c r="G95" s="307">
        <f t="shared" si="15"/>
        <v>-1.2187229003757238E-10</v>
      </c>
      <c r="I95" s="306">
        <f t="shared" si="22"/>
        <v>47849</v>
      </c>
      <c r="J95" s="303">
        <f t="shared" si="23"/>
        <v>2.1282176021486521E-10</v>
      </c>
      <c r="K95" s="303">
        <f t="shared" si="16"/>
        <v>0</v>
      </c>
      <c r="L95" s="303">
        <f t="shared" si="17"/>
        <v>0</v>
      </c>
      <c r="M95" s="303">
        <f t="shared" si="18"/>
        <v>0</v>
      </c>
      <c r="N95" s="307">
        <f t="shared" si="19"/>
        <v>2.1282176021486521E-10</v>
      </c>
    </row>
    <row r="96" spans="2:14" x14ac:dyDescent="0.45">
      <c r="B96" s="306">
        <f t="shared" si="20"/>
        <v>46874</v>
      </c>
      <c r="C96" s="303">
        <f t="shared" si="21"/>
        <v>-1.2187229003757238E-10</v>
      </c>
      <c r="D96" s="303">
        <f t="shared" si="12"/>
        <v>0</v>
      </c>
      <c r="E96" s="303">
        <f t="shared" si="13"/>
        <v>0</v>
      </c>
      <c r="F96" s="303">
        <f t="shared" si="14"/>
        <v>0</v>
      </c>
      <c r="G96" s="307">
        <f t="shared" si="15"/>
        <v>-1.2187229003757238E-10</v>
      </c>
      <c r="I96" s="306">
        <f t="shared" si="22"/>
        <v>47880</v>
      </c>
      <c r="J96" s="303">
        <f t="shared" si="23"/>
        <v>2.1282176021486521E-10</v>
      </c>
      <c r="K96" s="303">
        <f t="shared" si="16"/>
        <v>0</v>
      </c>
      <c r="L96" s="303">
        <f t="shared" si="17"/>
        <v>0</v>
      </c>
      <c r="M96" s="303">
        <f t="shared" si="18"/>
        <v>0</v>
      </c>
      <c r="N96" s="307">
        <f t="shared" si="19"/>
        <v>2.1282176021486521E-10</v>
      </c>
    </row>
    <row r="97" spans="2:14" x14ac:dyDescent="0.45">
      <c r="B97" s="306">
        <f t="shared" si="20"/>
        <v>46905</v>
      </c>
      <c r="C97" s="303">
        <f t="shared" si="21"/>
        <v>-1.2187229003757238E-10</v>
      </c>
      <c r="D97" s="303">
        <f t="shared" si="12"/>
        <v>0</v>
      </c>
      <c r="E97" s="303">
        <f t="shared" si="13"/>
        <v>0</v>
      </c>
      <c r="F97" s="303">
        <f t="shared" si="14"/>
        <v>0</v>
      </c>
      <c r="G97" s="307">
        <f t="shared" si="15"/>
        <v>-1.2187229003757238E-10</v>
      </c>
      <c r="I97" s="306">
        <f t="shared" si="22"/>
        <v>47908</v>
      </c>
      <c r="J97" s="303">
        <f t="shared" si="23"/>
        <v>2.1282176021486521E-10</v>
      </c>
      <c r="K97" s="303">
        <f t="shared" si="16"/>
        <v>0</v>
      </c>
      <c r="L97" s="303">
        <f t="shared" si="17"/>
        <v>0</v>
      </c>
      <c r="M97" s="303">
        <f t="shared" si="18"/>
        <v>0</v>
      </c>
      <c r="N97" s="307">
        <f t="shared" si="19"/>
        <v>2.1282176021486521E-10</v>
      </c>
    </row>
    <row r="98" spans="2:14" x14ac:dyDescent="0.45">
      <c r="B98" s="306">
        <f t="shared" si="20"/>
        <v>46935</v>
      </c>
      <c r="C98" s="303">
        <f t="shared" si="21"/>
        <v>-1.2187229003757238E-10</v>
      </c>
      <c r="D98" s="303">
        <f t="shared" si="12"/>
        <v>0</v>
      </c>
      <c r="E98" s="303">
        <f t="shared" si="13"/>
        <v>0</v>
      </c>
      <c r="F98" s="303">
        <f t="shared" si="14"/>
        <v>0</v>
      </c>
      <c r="G98" s="307">
        <f t="shared" si="15"/>
        <v>-1.2187229003757238E-10</v>
      </c>
      <c r="I98" s="306">
        <f t="shared" si="22"/>
        <v>47939</v>
      </c>
      <c r="J98" s="303">
        <f t="shared" si="23"/>
        <v>2.1282176021486521E-10</v>
      </c>
      <c r="K98" s="303">
        <f t="shared" si="16"/>
        <v>0</v>
      </c>
      <c r="L98" s="303">
        <f t="shared" si="17"/>
        <v>0</v>
      </c>
      <c r="M98" s="303">
        <f t="shared" si="18"/>
        <v>0</v>
      </c>
      <c r="N98" s="307">
        <f t="shared" si="19"/>
        <v>2.1282176021486521E-10</v>
      </c>
    </row>
    <row r="99" spans="2:14" x14ac:dyDescent="0.45">
      <c r="B99" s="306">
        <f t="shared" si="20"/>
        <v>46966</v>
      </c>
      <c r="C99" s="303">
        <f t="shared" si="21"/>
        <v>-1.2187229003757238E-10</v>
      </c>
      <c r="D99" s="303">
        <f t="shared" si="12"/>
        <v>0</v>
      </c>
      <c r="E99" s="303">
        <f t="shared" si="13"/>
        <v>0</v>
      </c>
      <c r="F99" s="303">
        <f t="shared" si="14"/>
        <v>0</v>
      </c>
      <c r="G99" s="307">
        <f t="shared" si="15"/>
        <v>-1.2187229003757238E-10</v>
      </c>
      <c r="I99" s="306">
        <f t="shared" si="22"/>
        <v>47969</v>
      </c>
      <c r="J99" s="303">
        <f t="shared" si="23"/>
        <v>2.1282176021486521E-10</v>
      </c>
      <c r="K99" s="303">
        <f t="shared" si="16"/>
        <v>0</v>
      </c>
      <c r="L99" s="303">
        <f t="shared" si="17"/>
        <v>0</v>
      </c>
      <c r="M99" s="303">
        <f t="shared" si="18"/>
        <v>0</v>
      </c>
      <c r="N99" s="307">
        <f t="shared" si="19"/>
        <v>2.1282176021486521E-10</v>
      </c>
    </row>
    <row r="100" spans="2:14" x14ac:dyDescent="0.45">
      <c r="B100" s="306">
        <f t="shared" si="20"/>
        <v>46997</v>
      </c>
      <c r="C100" s="303">
        <f t="shared" si="21"/>
        <v>-1.2187229003757238E-10</v>
      </c>
      <c r="D100" s="303">
        <f t="shared" si="12"/>
        <v>0</v>
      </c>
      <c r="E100" s="303">
        <f t="shared" si="13"/>
        <v>0</v>
      </c>
      <c r="F100" s="303">
        <f t="shared" si="14"/>
        <v>0</v>
      </c>
      <c r="G100" s="307">
        <f t="shared" si="15"/>
        <v>-1.2187229003757238E-10</v>
      </c>
      <c r="I100" s="306">
        <f t="shared" si="22"/>
        <v>48000</v>
      </c>
      <c r="J100" s="303">
        <f t="shared" si="23"/>
        <v>2.1282176021486521E-10</v>
      </c>
      <c r="K100" s="303">
        <f t="shared" si="16"/>
        <v>0</v>
      </c>
      <c r="L100" s="303">
        <f t="shared" si="17"/>
        <v>0</v>
      </c>
      <c r="M100" s="303">
        <f t="shared" si="18"/>
        <v>0</v>
      </c>
      <c r="N100" s="307">
        <f t="shared" si="19"/>
        <v>2.1282176021486521E-10</v>
      </c>
    </row>
    <row r="101" spans="2:14" x14ac:dyDescent="0.45">
      <c r="B101" s="306">
        <f t="shared" si="20"/>
        <v>47027</v>
      </c>
      <c r="C101" s="303">
        <f t="shared" si="21"/>
        <v>-1.2187229003757238E-10</v>
      </c>
      <c r="D101" s="303">
        <f t="shared" si="12"/>
        <v>0</v>
      </c>
      <c r="E101" s="303">
        <f t="shared" si="13"/>
        <v>0</v>
      </c>
      <c r="F101" s="303">
        <f t="shared" si="14"/>
        <v>0</v>
      </c>
      <c r="G101" s="307">
        <f t="shared" si="15"/>
        <v>-1.2187229003757238E-10</v>
      </c>
      <c r="I101" s="306">
        <f t="shared" si="22"/>
        <v>48030</v>
      </c>
      <c r="J101" s="303">
        <f t="shared" si="23"/>
        <v>2.1282176021486521E-10</v>
      </c>
      <c r="K101" s="303">
        <f t="shared" si="16"/>
        <v>0</v>
      </c>
      <c r="L101" s="303">
        <f t="shared" si="17"/>
        <v>0</v>
      </c>
      <c r="M101" s="303">
        <f t="shared" si="18"/>
        <v>0</v>
      </c>
      <c r="N101" s="307">
        <f t="shared" si="19"/>
        <v>2.1282176021486521E-10</v>
      </c>
    </row>
    <row r="102" spans="2:14" x14ac:dyDescent="0.45">
      <c r="B102" s="306">
        <f t="shared" si="20"/>
        <v>47058</v>
      </c>
      <c r="C102" s="303">
        <f t="shared" si="21"/>
        <v>-1.2187229003757238E-10</v>
      </c>
      <c r="D102" s="303">
        <f t="shared" si="12"/>
        <v>0</v>
      </c>
      <c r="E102" s="303">
        <f t="shared" si="13"/>
        <v>0</v>
      </c>
      <c r="F102" s="303">
        <f t="shared" si="14"/>
        <v>0</v>
      </c>
      <c r="G102" s="307">
        <f t="shared" si="15"/>
        <v>-1.2187229003757238E-10</v>
      </c>
      <c r="I102" s="306">
        <f t="shared" si="22"/>
        <v>48061</v>
      </c>
      <c r="J102" s="303">
        <f t="shared" si="23"/>
        <v>2.1282176021486521E-10</v>
      </c>
      <c r="K102" s="303">
        <f t="shared" si="16"/>
        <v>0</v>
      </c>
      <c r="L102" s="303">
        <f t="shared" si="17"/>
        <v>0</v>
      </c>
      <c r="M102" s="303">
        <f t="shared" si="18"/>
        <v>0</v>
      </c>
      <c r="N102" s="307">
        <f t="shared" si="19"/>
        <v>2.1282176021486521E-10</v>
      </c>
    </row>
    <row r="103" spans="2:14" x14ac:dyDescent="0.45">
      <c r="B103" s="306">
        <f t="shared" si="20"/>
        <v>47088</v>
      </c>
      <c r="C103" s="303">
        <f t="shared" si="21"/>
        <v>-1.2187229003757238E-10</v>
      </c>
      <c r="D103" s="303">
        <f t="shared" si="12"/>
        <v>0</v>
      </c>
      <c r="E103" s="303">
        <f t="shared" si="13"/>
        <v>0</v>
      </c>
      <c r="F103" s="303">
        <f t="shared" si="14"/>
        <v>0</v>
      </c>
      <c r="G103" s="307">
        <f t="shared" si="15"/>
        <v>-1.2187229003757238E-10</v>
      </c>
      <c r="I103" s="306">
        <f t="shared" si="22"/>
        <v>48092</v>
      </c>
      <c r="J103" s="303">
        <f t="shared" si="23"/>
        <v>2.1282176021486521E-10</v>
      </c>
      <c r="K103" s="303">
        <f t="shared" si="16"/>
        <v>0</v>
      </c>
      <c r="L103" s="303">
        <f t="shared" si="17"/>
        <v>0</v>
      </c>
      <c r="M103" s="303">
        <f t="shared" si="18"/>
        <v>0</v>
      </c>
      <c r="N103" s="307">
        <f t="shared" si="19"/>
        <v>2.1282176021486521E-10</v>
      </c>
    </row>
    <row r="104" spans="2:14" x14ac:dyDescent="0.45">
      <c r="B104" s="306">
        <f t="shared" si="20"/>
        <v>47119</v>
      </c>
      <c r="C104" s="303">
        <f t="shared" si="21"/>
        <v>-1.2187229003757238E-10</v>
      </c>
      <c r="D104" s="303">
        <f t="shared" si="12"/>
        <v>0</v>
      </c>
      <c r="E104" s="303">
        <f t="shared" si="13"/>
        <v>0</v>
      </c>
      <c r="F104" s="303">
        <f t="shared" si="14"/>
        <v>0</v>
      </c>
      <c r="G104" s="307">
        <f t="shared" si="15"/>
        <v>-1.2187229003757238E-10</v>
      </c>
      <c r="I104" s="306">
        <f t="shared" si="22"/>
        <v>48122</v>
      </c>
      <c r="J104" s="303">
        <f t="shared" si="23"/>
        <v>2.1282176021486521E-10</v>
      </c>
      <c r="K104" s="303">
        <f t="shared" si="16"/>
        <v>0</v>
      </c>
      <c r="L104" s="303">
        <f t="shared" si="17"/>
        <v>0</v>
      </c>
      <c r="M104" s="303">
        <f t="shared" si="18"/>
        <v>0</v>
      </c>
      <c r="N104" s="307">
        <f t="shared" si="19"/>
        <v>2.1282176021486521E-10</v>
      </c>
    </row>
    <row r="105" spans="2:14" x14ac:dyDescent="0.45">
      <c r="B105" s="306">
        <f t="shared" si="20"/>
        <v>47150</v>
      </c>
      <c r="C105" s="303">
        <f t="shared" si="21"/>
        <v>-1.2187229003757238E-10</v>
      </c>
      <c r="D105" s="303">
        <f t="shared" si="12"/>
        <v>0</v>
      </c>
      <c r="E105" s="303">
        <f t="shared" si="13"/>
        <v>0</v>
      </c>
      <c r="F105" s="303">
        <f t="shared" si="14"/>
        <v>0</v>
      </c>
      <c r="G105" s="307">
        <f t="shared" si="15"/>
        <v>-1.2187229003757238E-10</v>
      </c>
      <c r="I105" s="306">
        <f t="shared" si="22"/>
        <v>48153</v>
      </c>
      <c r="J105" s="303">
        <f t="shared" si="23"/>
        <v>2.1282176021486521E-10</v>
      </c>
      <c r="K105" s="303">
        <f t="shared" si="16"/>
        <v>0</v>
      </c>
      <c r="L105" s="303">
        <f t="shared" si="17"/>
        <v>0</v>
      </c>
      <c r="M105" s="303">
        <f t="shared" si="18"/>
        <v>0</v>
      </c>
      <c r="N105" s="307">
        <f t="shared" si="19"/>
        <v>2.1282176021486521E-10</v>
      </c>
    </row>
    <row r="106" spans="2:14" x14ac:dyDescent="0.45">
      <c r="B106" s="306">
        <f t="shared" si="20"/>
        <v>47178</v>
      </c>
      <c r="C106" s="303">
        <f t="shared" si="21"/>
        <v>-1.2187229003757238E-10</v>
      </c>
      <c r="D106" s="303">
        <f t="shared" si="12"/>
        <v>0</v>
      </c>
      <c r="E106" s="303">
        <f t="shared" si="13"/>
        <v>0</v>
      </c>
      <c r="F106" s="303">
        <f t="shared" si="14"/>
        <v>0</v>
      </c>
      <c r="G106" s="307">
        <f t="shared" si="15"/>
        <v>-1.2187229003757238E-10</v>
      </c>
      <c r="I106" s="306">
        <f t="shared" si="22"/>
        <v>48183</v>
      </c>
      <c r="J106" s="303">
        <f t="shared" si="23"/>
        <v>2.1282176021486521E-10</v>
      </c>
      <c r="K106" s="303">
        <f t="shared" si="16"/>
        <v>0</v>
      </c>
      <c r="L106" s="303">
        <f t="shared" si="17"/>
        <v>0</v>
      </c>
      <c r="M106" s="303">
        <f t="shared" si="18"/>
        <v>0</v>
      </c>
      <c r="N106" s="307">
        <f t="shared" si="19"/>
        <v>2.1282176021486521E-10</v>
      </c>
    </row>
    <row r="107" spans="2:14" x14ac:dyDescent="0.45">
      <c r="B107" s="306">
        <f t="shared" si="20"/>
        <v>47209</v>
      </c>
      <c r="C107" s="303">
        <f t="shared" si="21"/>
        <v>-1.2187229003757238E-10</v>
      </c>
      <c r="D107" s="303">
        <f t="shared" si="12"/>
        <v>0</v>
      </c>
      <c r="E107" s="303">
        <f t="shared" si="13"/>
        <v>0</v>
      </c>
      <c r="F107" s="303">
        <f t="shared" si="14"/>
        <v>0</v>
      </c>
      <c r="G107" s="307">
        <f t="shared" si="15"/>
        <v>-1.2187229003757238E-10</v>
      </c>
      <c r="I107" s="306">
        <f t="shared" si="22"/>
        <v>48214</v>
      </c>
      <c r="J107" s="303">
        <f t="shared" si="23"/>
        <v>2.1282176021486521E-10</v>
      </c>
      <c r="K107" s="303">
        <f t="shared" si="16"/>
        <v>0</v>
      </c>
      <c r="L107" s="303">
        <f t="shared" si="17"/>
        <v>0</v>
      </c>
      <c r="M107" s="303">
        <f t="shared" si="18"/>
        <v>0</v>
      </c>
      <c r="N107" s="307">
        <f t="shared" si="19"/>
        <v>2.1282176021486521E-10</v>
      </c>
    </row>
    <row r="108" spans="2:14" x14ac:dyDescent="0.45">
      <c r="B108" s="306">
        <f t="shared" si="20"/>
        <v>47239</v>
      </c>
      <c r="C108" s="303">
        <f t="shared" si="21"/>
        <v>-1.2187229003757238E-10</v>
      </c>
      <c r="D108" s="303">
        <f t="shared" si="12"/>
        <v>0</v>
      </c>
      <c r="E108" s="303">
        <f t="shared" si="13"/>
        <v>0</v>
      </c>
      <c r="F108" s="303">
        <f t="shared" si="14"/>
        <v>0</v>
      </c>
      <c r="G108" s="307">
        <f t="shared" si="15"/>
        <v>-1.2187229003757238E-10</v>
      </c>
      <c r="I108" s="306">
        <f t="shared" si="22"/>
        <v>48245</v>
      </c>
      <c r="J108" s="303">
        <f t="shared" si="23"/>
        <v>2.1282176021486521E-10</v>
      </c>
      <c r="K108" s="303">
        <f t="shared" si="16"/>
        <v>0</v>
      </c>
      <c r="L108" s="303">
        <f t="shared" si="17"/>
        <v>0</v>
      </c>
      <c r="M108" s="303">
        <f t="shared" si="18"/>
        <v>0</v>
      </c>
      <c r="N108" s="307">
        <f t="shared" si="19"/>
        <v>2.1282176021486521E-10</v>
      </c>
    </row>
    <row r="109" spans="2:14" x14ac:dyDescent="0.45">
      <c r="B109" s="306">
        <f t="shared" si="20"/>
        <v>47270</v>
      </c>
      <c r="C109" s="303">
        <f t="shared" si="21"/>
        <v>-1.2187229003757238E-10</v>
      </c>
      <c r="D109" s="303">
        <f t="shared" si="12"/>
        <v>0</v>
      </c>
      <c r="E109" s="303">
        <f t="shared" si="13"/>
        <v>0</v>
      </c>
      <c r="F109" s="303">
        <f t="shared" si="14"/>
        <v>0</v>
      </c>
      <c r="G109" s="307">
        <f t="shared" si="15"/>
        <v>-1.2187229003757238E-10</v>
      </c>
      <c r="I109" s="306">
        <f t="shared" si="22"/>
        <v>48274</v>
      </c>
      <c r="J109" s="303">
        <f t="shared" si="23"/>
        <v>2.1282176021486521E-10</v>
      </c>
      <c r="K109" s="303">
        <f t="shared" si="16"/>
        <v>0</v>
      </c>
      <c r="L109" s="303">
        <f t="shared" si="17"/>
        <v>0</v>
      </c>
      <c r="M109" s="303">
        <f t="shared" si="18"/>
        <v>0</v>
      </c>
      <c r="N109" s="307">
        <f t="shared" si="19"/>
        <v>2.1282176021486521E-10</v>
      </c>
    </row>
    <row r="110" spans="2:14" x14ac:dyDescent="0.45">
      <c r="B110" s="306">
        <f t="shared" si="20"/>
        <v>47300</v>
      </c>
      <c r="C110" s="303">
        <f t="shared" si="21"/>
        <v>-1.2187229003757238E-10</v>
      </c>
      <c r="D110" s="303">
        <f t="shared" si="12"/>
        <v>0</v>
      </c>
      <c r="E110" s="303">
        <f t="shared" si="13"/>
        <v>0</v>
      </c>
      <c r="F110" s="303">
        <f t="shared" si="14"/>
        <v>0</v>
      </c>
      <c r="G110" s="307">
        <f t="shared" si="15"/>
        <v>-1.2187229003757238E-10</v>
      </c>
      <c r="I110" s="306">
        <f t="shared" si="22"/>
        <v>48305</v>
      </c>
      <c r="J110" s="303">
        <f t="shared" si="23"/>
        <v>2.1282176021486521E-10</v>
      </c>
      <c r="K110" s="303">
        <f t="shared" si="16"/>
        <v>0</v>
      </c>
      <c r="L110" s="303">
        <f t="shared" si="17"/>
        <v>0</v>
      </c>
      <c r="M110" s="303">
        <f t="shared" si="18"/>
        <v>0</v>
      </c>
      <c r="N110" s="307">
        <f t="shared" si="19"/>
        <v>2.1282176021486521E-10</v>
      </c>
    </row>
    <row r="111" spans="2:14" x14ac:dyDescent="0.45">
      <c r="B111" s="306">
        <f t="shared" si="20"/>
        <v>47331</v>
      </c>
      <c r="C111" s="303">
        <f t="shared" si="21"/>
        <v>-1.2187229003757238E-10</v>
      </c>
      <c r="D111" s="303">
        <f t="shared" si="12"/>
        <v>0</v>
      </c>
      <c r="E111" s="303">
        <f t="shared" si="13"/>
        <v>0</v>
      </c>
      <c r="F111" s="303">
        <f t="shared" si="14"/>
        <v>0</v>
      </c>
      <c r="G111" s="307">
        <f t="shared" si="15"/>
        <v>-1.2187229003757238E-10</v>
      </c>
      <c r="I111" s="306">
        <f t="shared" si="22"/>
        <v>48335</v>
      </c>
      <c r="J111" s="303">
        <f t="shared" si="23"/>
        <v>2.1282176021486521E-10</v>
      </c>
      <c r="K111" s="303">
        <f t="shared" si="16"/>
        <v>0</v>
      </c>
      <c r="L111" s="303">
        <f t="shared" si="17"/>
        <v>0</v>
      </c>
      <c r="M111" s="303">
        <f t="shared" si="18"/>
        <v>0</v>
      </c>
      <c r="N111" s="307">
        <f t="shared" si="19"/>
        <v>2.1282176021486521E-10</v>
      </c>
    </row>
    <row r="112" spans="2:14" x14ac:dyDescent="0.45">
      <c r="B112" s="306">
        <f t="shared" si="20"/>
        <v>47362</v>
      </c>
      <c r="C112" s="303">
        <f t="shared" si="21"/>
        <v>-1.2187229003757238E-10</v>
      </c>
      <c r="D112" s="303">
        <f t="shared" si="12"/>
        <v>0</v>
      </c>
      <c r="E112" s="303">
        <f t="shared" si="13"/>
        <v>0</v>
      </c>
      <c r="F112" s="303">
        <f t="shared" si="14"/>
        <v>0</v>
      </c>
      <c r="G112" s="307">
        <f t="shared" si="15"/>
        <v>-1.2187229003757238E-10</v>
      </c>
      <c r="I112" s="306">
        <f t="shared" si="22"/>
        <v>48366</v>
      </c>
      <c r="J112" s="303">
        <f t="shared" si="23"/>
        <v>2.1282176021486521E-10</v>
      </c>
      <c r="K112" s="303">
        <f t="shared" si="16"/>
        <v>0</v>
      </c>
      <c r="L112" s="303">
        <f t="shared" si="17"/>
        <v>0</v>
      </c>
      <c r="M112" s="303">
        <f t="shared" si="18"/>
        <v>0</v>
      </c>
      <c r="N112" s="307">
        <f t="shared" si="19"/>
        <v>2.1282176021486521E-10</v>
      </c>
    </row>
    <row r="113" spans="2:14" x14ac:dyDescent="0.45">
      <c r="B113" s="306">
        <f t="shared" si="20"/>
        <v>47392</v>
      </c>
      <c r="C113" s="303">
        <f t="shared" si="21"/>
        <v>-1.2187229003757238E-10</v>
      </c>
      <c r="D113" s="303">
        <f t="shared" si="12"/>
        <v>0</v>
      </c>
      <c r="E113" s="303">
        <f t="shared" si="13"/>
        <v>0</v>
      </c>
      <c r="F113" s="303">
        <f t="shared" si="14"/>
        <v>0</v>
      </c>
      <c r="G113" s="307">
        <f t="shared" si="15"/>
        <v>-1.2187229003757238E-10</v>
      </c>
      <c r="I113" s="306">
        <f t="shared" si="22"/>
        <v>48396</v>
      </c>
      <c r="J113" s="303">
        <f t="shared" si="23"/>
        <v>2.1282176021486521E-10</v>
      </c>
      <c r="K113" s="303">
        <f t="shared" si="16"/>
        <v>0</v>
      </c>
      <c r="L113" s="303">
        <f t="shared" si="17"/>
        <v>0</v>
      </c>
      <c r="M113" s="303">
        <f t="shared" si="18"/>
        <v>0</v>
      </c>
      <c r="N113" s="307">
        <f t="shared" si="19"/>
        <v>2.1282176021486521E-10</v>
      </c>
    </row>
    <row r="114" spans="2:14" x14ac:dyDescent="0.45">
      <c r="B114" s="306">
        <f t="shared" si="20"/>
        <v>47423</v>
      </c>
      <c r="C114" s="303">
        <f t="shared" si="21"/>
        <v>-1.2187229003757238E-10</v>
      </c>
      <c r="D114" s="303">
        <f t="shared" si="12"/>
        <v>0</v>
      </c>
      <c r="E114" s="303">
        <f t="shared" si="13"/>
        <v>0</v>
      </c>
      <c r="F114" s="303">
        <f t="shared" si="14"/>
        <v>0</v>
      </c>
      <c r="G114" s="307">
        <f t="shared" si="15"/>
        <v>-1.2187229003757238E-10</v>
      </c>
      <c r="I114" s="306">
        <f t="shared" si="22"/>
        <v>48427</v>
      </c>
      <c r="J114" s="303">
        <f t="shared" si="23"/>
        <v>2.1282176021486521E-10</v>
      </c>
      <c r="K114" s="303">
        <f t="shared" si="16"/>
        <v>0</v>
      </c>
      <c r="L114" s="303">
        <f t="shared" si="17"/>
        <v>0</v>
      </c>
      <c r="M114" s="303">
        <f t="shared" si="18"/>
        <v>0</v>
      </c>
      <c r="N114" s="307">
        <f t="shared" si="19"/>
        <v>2.1282176021486521E-10</v>
      </c>
    </row>
    <row r="115" spans="2:14" x14ac:dyDescent="0.45">
      <c r="B115" s="306">
        <f t="shared" si="20"/>
        <v>47453</v>
      </c>
      <c r="C115" s="303">
        <f t="shared" si="21"/>
        <v>-1.2187229003757238E-10</v>
      </c>
      <c r="D115" s="303">
        <f t="shared" si="12"/>
        <v>0</v>
      </c>
      <c r="E115" s="303">
        <f t="shared" si="13"/>
        <v>0</v>
      </c>
      <c r="F115" s="303">
        <f t="shared" si="14"/>
        <v>0</v>
      </c>
      <c r="G115" s="307">
        <f t="shared" si="15"/>
        <v>-1.2187229003757238E-10</v>
      </c>
      <c r="I115" s="306">
        <f t="shared" si="22"/>
        <v>48458</v>
      </c>
      <c r="J115" s="303">
        <f t="shared" si="23"/>
        <v>2.1282176021486521E-10</v>
      </c>
      <c r="K115" s="303">
        <f t="shared" si="16"/>
        <v>0</v>
      </c>
      <c r="L115" s="303">
        <f t="shared" si="17"/>
        <v>0</v>
      </c>
      <c r="M115" s="303">
        <f t="shared" si="18"/>
        <v>0</v>
      </c>
      <c r="N115" s="307">
        <f t="shared" si="19"/>
        <v>2.1282176021486521E-10</v>
      </c>
    </row>
    <row r="116" spans="2:14" x14ac:dyDescent="0.45">
      <c r="B116" s="306">
        <f t="shared" si="20"/>
        <v>47484</v>
      </c>
      <c r="C116" s="303">
        <f t="shared" si="21"/>
        <v>-1.2187229003757238E-10</v>
      </c>
      <c r="D116" s="303">
        <f t="shared" si="12"/>
        <v>0</v>
      </c>
      <c r="E116" s="303">
        <f t="shared" si="13"/>
        <v>0</v>
      </c>
      <c r="F116" s="303">
        <f t="shared" si="14"/>
        <v>0</v>
      </c>
      <c r="G116" s="307">
        <f t="shared" si="15"/>
        <v>-1.2187229003757238E-10</v>
      </c>
      <c r="I116" s="306">
        <f t="shared" si="22"/>
        <v>48488</v>
      </c>
      <c r="J116" s="303">
        <f t="shared" si="23"/>
        <v>2.1282176021486521E-10</v>
      </c>
      <c r="K116" s="303">
        <f t="shared" si="16"/>
        <v>0</v>
      </c>
      <c r="L116" s="303">
        <f t="shared" si="17"/>
        <v>0</v>
      </c>
      <c r="M116" s="303">
        <f t="shared" si="18"/>
        <v>0</v>
      </c>
      <c r="N116" s="307">
        <f t="shared" si="19"/>
        <v>2.1282176021486521E-10</v>
      </c>
    </row>
    <row r="117" spans="2:14" x14ac:dyDescent="0.45">
      <c r="B117" s="306">
        <f t="shared" si="20"/>
        <v>47515</v>
      </c>
      <c r="C117" s="303">
        <f t="shared" si="21"/>
        <v>-1.2187229003757238E-10</v>
      </c>
      <c r="D117" s="303">
        <f t="shared" si="12"/>
        <v>0</v>
      </c>
      <c r="E117" s="303">
        <f t="shared" si="13"/>
        <v>0</v>
      </c>
      <c r="F117" s="303">
        <f t="shared" si="14"/>
        <v>0</v>
      </c>
      <c r="G117" s="307">
        <f t="shared" si="15"/>
        <v>-1.2187229003757238E-10</v>
      </c>
      <c r="I117" s="306">
        <f t="shared" si="22"/>
        <v>48519</v>
      </c>
      <c r="J117" s="303">
        <f t="shared" si="23"/>
        <v>2.1282176021486521E-10</v>
      </c>
      <c r="K117" s="303">
        <f t="shared" si="16"/>
        <v>0</v>
      </c>
      <c r="L117" s="303">
        <f t="shared" si="17"/>
        <v>0</v>
      </c>
      <c r="M117" s="303">
        <f t="shared" si="18"/>
        <v>0</v>
      </c>
      <c r="N117" s="307">
        <f t="shared" si="19"/>
        <v>2.1282176021486521E-10</v>
      </c>
    </row>
    <row r="118" spans="2:14" x14ac:dyDescent="0.45">
      <c r="B118" s="306">
        <f t="shared" si="20"/>
        <v>47543</v>
      </c>
      <c r="C118" s="303">
        <f t="shared" si="21"/>
        <v>-1.2187229003757238E-10</v>
      </c>
      <c r="D118" s="303">
        <f t="shared" si="12"/>
        <v>0</v>
      </c>
      <c r="E118" s="303">
        <f t="shared" si="13"/>
        <v>0</v>
      </c>
      <c r="F118" s="303">
        <f t="shared" si="14"/>
        <v>0</v>
      </c>
      <c r="G118" s="307">
        <f t="shared" si="15"/>
        <v>-1.2187229003757238E-10</v>
      </c>
      <c r="I118" s="306">
        <f t="shared" si="22"/>
        <v>48549</v>
      </c>
      <c r="J118" s="303">
        <f t="shared" si="23"/>
        <v>2.1282176021486521E-10</v>
      </c>
      <c r="K118" s="303">
        <f t="shared" si="16"/>
        <v>0</v>
      </c>
      <c r="L118" s="303">
        <f t="shared" si="17"/>
        <v>0</v>
      </c>
      <c r="M118" s="303">
        <f t="shared" si="18"/>
        <v>0</v>
      </c>
      <c r="N118" s="307">
        <f t="shared" si="19"/>
        <v>2.1282176021486521E-10</v>
      </c>
    </row>
    <row r="119" spans="2:14" x14ac:dyDescent="0.45">
      <c r="B119" s="306">
        <f t="shared" si="20"/>
        <v>47574</v>
      </c>
      <c r="C119" s="303">
        <f t="shared" si="21"/>
        <v>-1.2187229003757238E-10</v>
      </c>
      <c r="D119" s="303">
        <f t="shared" si="12"/>
        <v>0</v>
      </c>
      <c r="E119" s="303">
        <f t="shared" si="13"/>
        <v>0</v>
      </c>
      <c r="F119" s="303">
        <f t="shared" si="14"/>
        <v>0</v>
      </c>
      <c r="G119" s="307">
        <f t="shared" si="15"/>
        <v>-1.2187229003757238E-10</v>
      </c>
      <c r="I119" s="306">
        <f t="shared" si="22"/>
        <v>48580</v>
      </c>
      <c r="J119" s="303">
        <f t="shared" si="23"/>
        <v>2.1282176021486521E-10</v>
      </c>
      <c r="K119" s="303">
        <f t="shared" si="16"/>
        <v>0</v>
      </c>
      <c r="L119" s="303">
        <f t="shared" si="17"/>
        <v>0</v>
      </c>
      <c r="M119" s="303">
        <f t="shared" si="18"/>
        <v>0</v>
      </c>
      <c r="N119" s="307">
        <f t="shared" si="19"/>
        <v>2.1282176021486521E-10</v>
      </c>
    </row>
    <row r="120" spans="2:14" x14ac:dyDescent="0.45">
      <c r="B120" s="306">
        <f t="shared" si="20"/>
        <v>47604</v>
      </c>
      <c r="C120" s="303">
        <f t="shared" si="21"/>
        <v>-1.2187229003757238E-10</v>
      </c>
      <c r="D120" s="303">
        <f t="shared" si="12"/>
        <v>0</v>
      </c>
      <c r="E120" s="303">
        <f t="shared" si="13"/>
        <v>0</v>
      </c>
      <c r="F120" s="303">
        <f t="shared" si="14"/>
        <v>0</v>
      </c>
      <c r="G120" s="307">
        <f t="shared" si="15"/>
        <v>-1.2187229003757238E-10</v>
      </c>
      <c r="I120" s="306">
        <f t="shared" si="22"/>
        <v>48611</v>
      </c>
      <c r="J120" s="303">
        <f t="shared" si="23"/>
        <v>2.1282176021486521E-10</v>
      </c>
      <c r="K120" s="303">
        <f t="shared" si="16"/>
        <v>0</v>
      </c>
      <c r="L120" s="303">
        <f t="shared" si="17"/>
        <v>0</v>
      </c>
      <c r="M120" s="303">
        <f t="shared" si="18"/>
        <v>0</v>
      </c>
      <c r="N120" s="307">
        <f t="shared" si="19"/>
        <v>2.1282176021486521E-10</v>
      </c>
    </row>
    <row r="121" spans="2:14" x14ac:dyDescent="0.45">
      <c r="B121" s="306">
        <f t="shared" si="20"/>
        <v>47635</v>
      </c>
      <c r="C121" s="303">
        <f t="shared" si="21"/>
        <v>-1.2187229003757238E-10</v>
      </c>
      <c r="D121" s="303">
        <f t="shared" si="12"/>
        <v>0</v>
      </c>
      <c r="E121" s="303">
        <f t="shared" si="13"/>
        <v>0</v>
      </c>
      <c r="F121" s="303">
        <f t="shared" si="14"/>
        <v>0</v>
      </c>
      <c r="G121" s="307">
        <f t="shared" si="15"/>
        <v>-1.2187229003757238E-10</v>
      </c>
      <c r="I121" s="306">
        <f t="shared" si="22"/>
        <v>48639</v>
      </c>
      <c r="J121" s="303">
        <f t="shared" si="23"/>
        <v>2.1282176021486521E-10</v>
      </c>
      <c r="K121" s="303">
        <f t="shared" si="16"/>
        <v>0</v>
      </c>
      <c r="L121" s="303">
        <f t="shared" si="17"/>
        <v>0</v>
      </c>
      <c r="M121" s="303">
        <f t="shared" si="18"/>
        <v>0</v>
      </c>
      <c r="N121" s="307">
        <f t="shared" si="19"/>
        <v>2.1282176021486521E-10</v>
      </c>
    </row>
    <row r="122" spans="2:14" x14ac:dyDescent="0.45">
      <c r="B122" s="306">
        <f t="shared" si="20"/>
        <v>47665</v>
      </c>
      <c r="C122" s="303">
        <f t="shared" si="21"/>
        <v>-1.2187229003757238E-10</v>
      </c>
      <c r="D122" s="303">
        <f t="shared" si="12"/>
        <v>0</v>
      </c>
      <c r="E122" s="303">
        <f t="shared" si="13"/>
        <v>0</v>
      </c>
      <c r="F122" s="303">
        <f t="shared" si="14"/>
        <v>0</v>
      </c>
      <c r="G122" s="307">
        <f t="shared" si="15"/>
        <v>-1.2187229003757238E-10</v>
      </c>
      <c r="I122" s="306">
        <f t="shared" si="22"/>
        <v>48670</v>
      </c>
      <c r="J122" s="303">
        <f t="shared" si="23"/>
        <v>2.1282176021486521E-10</v>
      </c>
      <c r="K122" s="303">
        <f t="shared" si="16"/>
        <v>0</v>
      </c>
      <c r="L122" s="303">
        <f t="shared" si="17"/>
        <v>0</v>
      </c>
      <c r="M122" s="303">
        <f t="shared" si="18"/>
        <v>0</v>
      </c>
      <c r="N122" s="307">
        <f t="shared" si="19"/>
        <v>2.1282176021486521E-10</v>
      </c>
    </row>
    <row r="123" spans="2:14" x14ac:dyDescent="0.45">
      <c r="B123" s="306">
        <f t="shared" si="20"/>
        <v>47696</v>
      </c>
      <c r="C123" s="303">
        <f t="shared" si="21"/>
        <v>-1.2187229003757238E-10</v>
      </c>
      <c r="D123" s="303">
        <f t="shared" si="12"/>
        <v>0</v>
      </c>
      <c r="E123" s="303">
        <f t="shared" si="13"/>
        <v>0</v>
      </c>
      <c r="F123" s="303">
        <f t="shared" si="14"/>
        <v>0</v>
      </c>
      <c r="G123" s="307">
        <f t="shared" si="15"/>
        <v>-1.2187229003757238E-10</v>
      </c>
      <c r="I123" s="306">
        <f t="shared" si="22"/>
        <v>48700</v>
      </c>
      <c r="J123" s="303">
        <f t="shared" si="23"/>
        <v>2.1282176021486521E-10</v>
      </c>
      <c r="K123" s="303">
        <f t="shared" si="16"/>
        <v>0</v>
      </c>
      <c r="L123" s="303">
        <f t="shared" si="17"/>
        <v>0</v>
      </c>
      <c r="M123" s="303">
        <f t="shared" si="18"/>
        <v>0</v>
      </c>
      <c r="N123" s="307">
        <f t="shared" si="19"/>
        <v>2.1282176021486521E-10</v>
      </c>
    </row>
    <row r="124" spans="2:14" x14ac:dyDescent="0.45">
      <c r="B124" s="306">
        <f t="shared" si="20"/>
        <v>47727</v>
      </c>
      <c r="C124" s="303">
        <f t="shared" si="21"/>
        <v>-1.2187229003757238E-10</v>
      </c>
      <c r="D124" s="303">
        <f t="shared" si="12"/>
        <v>0</v>
      </c>
      <c r="E124" s="303">
        <f t="shared" si="13"/>
        <v>0</v>
      </c>
      <c r="F124" s="303">
        <f t="shared" si="14"/>
        <v>0</v>
      </c>
      <c r="G124" s="307">
        <f t="shared" si="15"/>
        <v>-1.2187229003757238E-10</v>
      </c>
      <c r="I124" s="306">
        <f t="shared" si="22"/>
        <v>48731</v>
      </c>
      <c r="J124" s="303">
        <f t="shared" si="23"/>
        <v>2.1282176021486521E-10</v>
      </c>
      <c r="K124" s="303">
        <f t="shared" si="16"/>
        <v>0</v>
      </c>
      <c r="L124" s="303">
        <f t="shared" si="17"/>
        <v>0</v>
      </c>
      <c r="M124" s="303">
        <f t="shared" si="18"/>
        <v>0</v>
      </c>
      <c r="N124" s="307">
        <f t="shared" si="19"/>
        <v>2.1282176021486521E-10</v>
      </c>
    </row>
    <row r="125" spans="2:14" x14ac:dyDescent="0.45">
      <c r="B125" s="306">
        <f t="shared" si="20"/>
        <v>47757</v>
      </c>
      <c r="C125" s="303">
        <f t="shared" si="21"/>
        <v>-1.2187229003757238E-10</v>
      </c>
      <c r="D125" s="303">
        <f t="shared" si="12"/>
        <v>0</v>
      </c>
      <c r="E125" s="303">
        <f t="shared" si="13"/>
        <v>0</v>
      </c>
      <c r="F125" s="303">
        <f t="shared" si="14"/>
        <v>0</v>
      </c>
      <c r="G125" s="307">
        <f t="shared" si="15"/>
        <v>-1.2187229003757238E-10</v>
      </c>
      <c r="I125" s="306">
        <f t="shared" si="22"/>
        <v>48761</v>
      </c>
      <c r="J125" s="303">
        <f t="shared" si="23"/>
        <v>2.1282176021486521E-10</v>
      </c>
      <c r="K125" s="303">
        <f t="shared" si="16"/>
        <v>0</v>
      </c>
      <c r="L125" s="303">
        <f t="shared" si="17"/>
        <v>0</v>
      </c>
      <c r="M125" s="303">
        <f t="shared" si="18"/>
        <v>0</v>
      </c>
      <c r="N125" s="307">
        <f t="shared" si="19"/>
        <v>2.1282176021486521E-10</v>
      </c>
    </row>
    <row r="126" spans="2:14" x14ac:dyDescent="0.45">
      <c r="B126" s="306">
        <f t="shared" si="20"/>
        <v>47788</v>
      </c>
      <c r="C126" s="303">
        <f t="shared" si="21"/>
        <v>-1.2187229003757238E-10</v>
      </c>
      <c r="D126" s="303">
        <f t="shared" si="12"/>
        <v>0</v>
      </c>
      <c r="E126" s="303">
        <f t="shared" si="13"/>
        <v>0</v>
      </c>
      <c r="F126" s="303">
        <f t="shared" si="14"/>
        <v>0</v>
      </c>
      <c r="G126" s="307">
        <f t="shared" si="15"/>
        <v>-1.2187229003757238E-10</v>
      </c>
      <c r="I126" s="306">
        <f t="shared" si="22"/>
        <v>48792</v>
      </c>
      <c r="J126" s="303">
        <f t="shared" si="23"/>
        <v>2.1282176021486521E-10</v>
      </c>
      <c r="K126" s="303">
        <f t="shared" si="16"/>
        <v>0</v>
      </c>
      <c r="L126" s="303">
        <f t="shared" si="17"/>
        <v>0</v>
      </c>
      <c r="M126" s="303">
        <f t="shared" si="18"/>
        <v>0</v>
      </c>
      <c r="N126" s="307">
        <f t="shared" si="19"/>
        <v>2.1282176021486521E-10</v>
      </c>
    </row>
    <row r="127" spans="2:14" x14ac:dyDescent="0.45">
      <c r="B127" s="306">
        <f t="shared" si="20"/>
        <v>47818</v>
      </c>
      <c r="C127" s="303">
        <f t="shared" si="21"/>
        <v>-1.2187229003757238E-10</v>
      </c>
      <c r="D127" s="303">
        <f t="shared" si="12"/>
        <v>0</v>
      </c>
      <c r="E127" s="303">
        <f t="shared" si="13"/>
        <v>0</v>
      </c>
      <c r="F127" s="303">
        <f t="shared" si="14"/>
        <v>0</v>
      </c>
      <c r="G127" s="307">
        <f t="shared" si="15"/>
        <v>-1.2187229003757238E-10</v>
      </c>
      <c r="I127" s="306">
        <f t="shared" si="22"/>
        <v>48823</v>
      </c>
      <c r="J127" s="303">
        <f t="shared" si="23"/>
        <v>2.1282176021486521E-10</v>
      </c>
      <c r="K127" s="303">
        <f t="shared" si="16"/>
        <v>0</v>
      </c>
      <c r="L127" s="303">
        <f t="shared" si="17"/>
        <v>0</v>
      </c>
      <c r="M127" s="303">
        <f t="shared" si="18"/>
        <v>0</v>
      </c>
      <c r="N127" s="307">
        <f t="shared" si="19"/>
        <v>2.1282176021486521E-10</v>
      </c>
    </row>
    <row r="128" spans="2:14" x14ac:dyDescent="0.45">
      <c r="B128" s="306">
        <f t="shared" si="20"/>
        <v>47849</v>
      </c>
      <c r="C128" s="303">
        <f t="shared" si="21"/>
        <v>-1.2187229003757238E-10</v>
      </c>
      <c r="D128" s="303">
        <f t="shared" si="12"/>
        <v>0</v>
      </c>
      <c r="E128" s="303">
        <f t="shared" si="13"/>
        <v>0</v>
      </c>
      <c r="F128" s="303">
        <f t="shared" si="14"/>
        <v>0</v>
      </c>
      <c r="G128" s="307">
        <f t="shared" si="15"/>
        <v>-1.2187229003757238E-10</v>
      </c>
      <c r="I128" s="306">
        <f t="shared" si="22"/>
        <v>48853</v>
      </c>
      <c r="J128" s="303">
        <f t="shared" si="23"/>
        <v>2.1282176021486521E-10</v>
      </c>
      <c r="K128" s="303">
        <f t="shared" si="16"/>
        <v>0</v>
      </c>
      <c r="L128" s="303">
        <f t="shared" si="17"/>
        <v>0</v>
      </c>
      <c r="M128" s="303">
        <f t="shared" si="18"/>
        <v>0</v>
      </c>
      <c r="N128" s="307">
        <f t="shared" si="19"/>
        <v>2.1282176021486521E-10</v>
      </c>
    </row>
    <row r="129" spans="2:14" x14ac:dyDescent="0.45">
      <c r="B129" s="306">
        <f t="shared" si="20"/>
        <v>47880</v>
      </c>
      <c r="C129" s="303">
        <f t="shared" si="21"/>
        <v>-1.2187229003757238E-10</v>
      </c>
      <c r="D129" s="303">
        <f t="shared" si="12"/>
        <v>0</v>
      </c>
      <c r="E129" s="303">
        <f t="shared" si="13"/>
        <v>0</v>
      </c>
      <c r="F129" s="303">
        <f t="shared" si="14"/>
        <v>0</v>
      </c>
      <c r="G129" s="307">
        <f t="shared" si="15"/>
        <v>-1.2187229003757238E-10</v>
      </c>
      <c r="I129" s="306">
        <f t="shared" si="22"/>
        <v>48884</v>
      </c>
      <c r="J129" s="303">
        <f t="shared" si="23"/>
        <v>2.1282176021486521E-10</v>
      </c>
      <c r="K129" s="303">
        <f t="shared" si="16"/>
        <v>0</v>
      </c>
      <c r="L129" s="303">
        <f t="shared" si="17"/>
        <v>0</v>
      </c>
      <c r="M129" s="303">
        <f t="shared" si="18"/>
        <v>0</v>
      </c>
      <c r="N129" s="307">
        <f t="shared" si="19"/>
        <v>2.1282176021486521E-10</v>
      </c>
    </row>
    <row r="130" spans="2:14" x14ac:dyDescent="0.45">
      <c r="B130" s="306">
        <f t="shared" si="20"/>
        <v>47908</v>
      </c>
      <c r="C130" s="303">
        <f t="shared" si="21"/>
        <v>-1.2187229003757238E-10</v>
      </c>
      <c r="D130" s="303">
        <f t="shared" si="12"/>
        <v>0</v>
      </c>
      <c r="E130" s="303">
        <f t="shared" si="13"/>
        <v>0</v>
      </c>
      <c r="F130" s="303">
        <f t="shared" si="14"/>
        <v>0</v>
      </c>
      <c r="G130" s="307">
        <f t="shared" si="15"/>
        <v>-1.2187229003757238E-10</v>
      </c>
      <c r="I130" s="306">
        <f t="shared" si="22"/>
        <v>48914</v>
      </c>
      <c r="J130" s="303">
        <f t="shared" si="23"/>
        <v>2.1282176021486521E-10</v>
      </c>
      <c r="K130" s="303">
        <f t="shared" si="16"/>
        <v>0</v>
      </c>
      <c r="L130" s="303">
        <f t="shared" si="17"/>
        <v>0</v>
      </c>
      <c r="M130" s="303">
        <f t="shared" si="18"/>
        <v>0</v>
      </c>
      <c r="N130" s="307">
        <f t="shared" si="19"/>
        <v>2.1282176021486521E-10</v>
      </c>
    </row>
    <row r="131" spans="2:14" x14ac:dyDescent="0.45">
      <c r="B131" s="306">
        <f t="shared" si="20"/>
        <v>47939</v>
      </c>
      <c r="C131" s="303">
        <f t="shared" si="21"/>
        <v>-1.2187229003757238E-10</v>
      </c>
      <c r="D131" s="303">
        <f t="shared" si="12"/>
        <v>0</v>
      </c>
      <c r="E131" s="303">
        <f t="shared" si="13"/>
        <v>0</v>
      </c>
      <c r="F131" s="303">
        <f t="shared" si="14"/>
        <v>0</v>
      </c>
      <c r="G131" s="307">
        <f t="shared" si="15"/>
        <v>-1.2187229003757238E-10</v>
      </c>
      <c r="I131" s="306">
        <f t="shared" si="22"/>
        <v>48945</v>
      </c>
      <c r="J131" s="303">
        <f t="shared" si="23"/>
        <v>2.1282176021486521E-10</v>
      </c>
      <c r="K131" s="303">
        <f t="shared" si="16"/>
        <v>0</v>
      </c>
      <c r="L131" s="303">
        <f t="shared" si="17"/>
        <v>0</v>
      </c>
      <c r="M131" s="303">
        <f t="shared" si="18"/>
        <v>0</v>
      </c>
      <c r="N131" s="307">
        <f t="shared" si="19"/>
        <v>2.1282176021486521E-10</v>
      </c>
    </row>
    <row r="132" spans="2:14" x14ac:dyDescent="0.45">
      <c r="B132" s="306">
        <f t="shared" si="20"/>
        <v>47969</v>
      </c>
      <c r="C132" s="303">
        <f t="shared" si="21"/>
        <v>-1.2187229003757238E-10</v>
      </c>
      <c r="D132" s="303">
        <f t="shared" si="12"/>
        <v>0</v>
      </c>
      <c r="E132" s="303">
        <f t="shared" si="13"/>
        <v>0</v>
      </c>
      <c r="F132" s="303">
        <f t="shared" si="14"/>
        <v>0</v>
      </c>
      <c r="G132" s="307">
        <f t="shared" si="15"/>
        <v>-1.2187229003757238E-10</v>
      </c>
      <c r="I132" s="306">
        <f t="shared" si="22"/>
        <v>48976</v>
      </c>
      <c r="J132" s="303">
        <f t="shared" si="23"/>
        <v>2.1282176021486521E-10</v>
      </c>
      <c r="K132" s="303">
        <f t="shared" si="16"/>
        <v>0</v>
      </c>
      <c r="L132" s="303">
        <f t="shared" si="17"/>
        <v>0</v>
      </c>
      <c r="M132" s="303">
        <f t="shared" si="18"/>
        <v>0</v>
      </c>
      <c r="N132" s="307">
        <f t="shared" si="19"/>
        <v>2.1282176021486521E-10</v>
      </c>
    </row>
    <row r="133" spans="2:14" x14ac:dyDescent="0.45">
      <c r="B133" s="306">
        <f t="shared" si="20"/>
        <v>48000</v>
      </c>
      <c r="C133" s="303">
        <f t="shared" si="21"/>
        <v>-1.2187229003757238E-10</v>
      </c>
      <c r="D133" s="303">
        <f t="shared" si="12"/>
        <v>0</v>
      </c>
      <c r="E133" s="303">
        <f t="shared" si="13"/>
        <v>0</v>
      </c>
      <c r="F133" s="303">
        <f t="shared" si="14"/>
        <v>0</v>
      </c>
      <c r="G133" s="307">
        <f t="shared" si="15"/>
        <v>-1.2187229003757238E-10</v>
      </c>
      <c r="I133" s="306">
        <f t="shared" si="22"/>
        <v>49004</v>
      </c>
      <c r="J133" s="303">
        <f t="shared" si="23"/>
        <v>2.1282176021486521E-10</v>
      </c>
      <c r="K133" s="303">
        <f t="shared" si="16"/>
        <v>0</v>
      </c>
      <c r="L133" s="303">
        <f t="shared" si="17"/>
        <v>0</v>
      </c>
      <c r="M133" s="303">
        <f t="shared" si="18"/>
        <v>0</v>
      </c>
      <c r="N133" s="307">
        <f t="shared" si="19"/>
        <v>2.1282176021486521E-10</v>
      </c>
    </row>
    <row r="134" spans="2:14" x14ac:dyDescent="0.45">
      <c r="B134" s="306">
        <f t="shared" si="20"/>
        <v>48030</v>
      </c>
      <c r="C134" s="303">
        <f t="shared" si="21"/>
        <v>-1.2187229003757238E-10</v>
      </c>
      <c r="D134" s="303">
        <f t="shared" si="12"/>
        <v>0</v>
      </c>
      <c r="E134" s="303">
        <f t="shared" si="13"/>
        <v>0</v>
      </c>
      <c r="F134" s="303">
        <f t="shared" si="14"/>
        <v>0</v>
      </c>
      <c r="G134" s="307">
        <f t="shared" si="15"/>
        <v>-1.2187229003757238E-10</v>
      </c>
      <c r="I134" s="306">
        <f t="shared" si="22"/>
        <v>49035</v>
      </c>
      <c r="J134" s="303">
        <f t="shared" si="23"/>
        <v>2.1282176021486521E-10</v>
      </c>
      <c r="K134" s="303">
        <f t="shared" si="16"/>
        <v>0</v>
      </c>
      <c r="L134" s="303">
        <f t="shared" si="17"/>
        <v>0</v>
      </c>
      <c r="M134" s="303">
        <f t="shared" si="18"/>
        <v>0</v>
      </c>
      <c r="N134" s="307">
        <f t="shared" si="19"/>
        <v>2.1282176021486521E-10</v>
      </c>
    </row>
    <row r="135" spans="2:14" x14ac:dyDescent="0.45">
      <c r="B135" s="306">
        <f t="shared" si="20"/>
        <v>48061</v>
      </c>
      <c r="C135" s="303">
        <f t="shared" si="21"/>
        <v>-1.2187229003757238E-10</v>
      </c>
      <c r="D135" s="303">
        <f t="shared" si="12"/>
        <v>0</v>
      </c>
      <c r="E135" s="303">
        <f t="shared" si="13"/>
        <v>0</v>
      </c>
      <c r="F135" s="303">
        <f t="shared" si="14"/>
        <v>0</v>
      </c>
      <c r="G135" s="307">
        <f t="shared" si="15"/>
        <v>-1.2187229003757238E-10</v>
      </c>
      <c r="I135" s="306">
        <f t="shared" si="22"/>
        <v>49065</v>
      </c>
      <c r="J135" s="303">
        <f t="shared" si="23"/>
        <v>2.1282176021486521E-10</v>
      </c>
      <c r="K135" s="303">
        <f t="shared" si="16"/>
        <v>0</v>
      </c>
      <c r="L135" s="303">
        <f t="shared" si="17"/>
        <v>0</v>
      </c>
      <c r="M135" s="303">
        <f t="shared" si="18"/>
        <v>0</v>
      </c>
      <c r="N135" s="307">
        <f t="shared" si="19"/>
        <v>2.1282176021486521E-10</v>
      </c>
    </row>
    <row r="136" spans="2:14" x14ac:dyDescent="0.45">
      <c r="B136" s="306">
        <f t="shared" si="20"/>
        <v>48092</v>
      </c>
      <c r="C136" s="303">
        <f t="shared" si="21"/>
        <v>-1.2187229003757238E-10</v>
      </c>
      <c r="D136" s="303">
        <f t="shared" si="12"/>
        <v>0</v>
      </c>
      <c r="E136" s="303">
        <f t="shared" si="13"/>
        <v>0</v>
      </c>
      <c r="F136" s="303">
        <f t="shared" si="14"/>
        <v>0</v>
      </c>
      <c r="G136" s="307">
        <f t="shared" si="15"/>
        <v>-1.2187229003757238E-10</v>
      </c>
      <c r="I136" s="306">
        <f t="shared" si="22"/>
        <v>49096</v>
      </c>
      <c r="J136" s="303">
        <f t="shared" si="23"/>
        <v>2.1282176021486521E-10</v>
      </c>
      <c r="K136" s="303">
        <f t="shared" si="16"/>
        <v>0</v>
      </c>
      <c r="L136" s="303">
        <f t="shared" si="17"/>
        <v>0</v>
      </c>
      <c r="M136" s="303">
        <f t="shared" si="18"/>
        <v>0</v>
      </c>
      <c r="N136" s="307">
        <f t="shared" si="19"/>
        <v>2.1282176021486521E-10</v>
      </c>
    </row>
    <row r="137" spans="2:14" x14ac:dyDescent="0.45">
      <c r="B137" s="306">
        <f t="shared" si="20"/>
        <v>48122</v>
      </c>
      <c r="C137" s="303">
        <f t="shared" si="21"/>
        <v>-1.2187229003757238E-10</v>
      </c>
      <c r="D137" s="303">
        <f t="shared" si="12"/>
        <v>0</v>
      </c>
      <c r="E137" s="303">
        <f t="shared" si="13"/>
        <v>0</v>
      </c>
      <c r="F137" s="303">
        <f t="shared" si="14"/>
        <v>0</v>
      </c>
      <c r="G137" s="307">
        <f t="shared" si="15"/>
        <v>-1.2187229003757238E-10</v>
      </c>
      <c r="I137" s="306">
        <f t="shared" si="22"/>
        <v>49126</v>
      </c>
      <c r="J137" s="303">
        <f t="shared" si="23"/>
        <v>2.1282176021486521E-10</v>
      </c>
      <c r="K137" s="303">
        <f t="shared" si="16"/>
        <v>0</v>
      </c>
      <c r="L137" s="303">
        <f t="shared" si="17"/>
        <v>0</v>
      </c>
      <c r="M137" s="303">
        <f t="shared" si="18"/>
        <v>0</v>
      </c>
      <c r="N137" s="307">
        <f t="shared" si="19"/>
        <v>2.1282176021486521E-10</v>
      </c>
    </row>
    <row r="138" spans="2:14" x14ac:dyDescent="0.45">
      <c r="B138" s="306">
        <f t="shared" si="20"/>
        <v>48153</v>
      </c>
      <c r="C138" s="303">
        <f t="shared" si="21"/>
        <v>-1.2187229003757238E-10</v>
      </c>
      <c r="D138" s="303">
        <f t="shared" si="12"/>
        <v>0</v>
      </c>
      <c r="E138" s="303">
        <f t="shared" si="13"/>
        <v>0</v>
      </c>
      <c r="F138" s="303">
        <f t="shared" si="14"/>
        <v>0</v>
      </c>
      <c r="G138" s="307">
        <f t="shared" si="15"/>
        <v>-1.2187229003757238E-10</v>
      </c>
      <c r="I138" s="306">
        <f t="shared" si="22"/>
        <v>49157</v>
      </c>
      <c r="J138" s="303">
        <f t="shared" si="23"/>
        <v>2.1282176021486521E-10</v>
      </c>
      <c r="K138" s="303">
        <f t="shared" si="16"/>
        <v>0</v>
      </c>
      <c r="L138" s="303">
        <f t="shared" si="17"/>
        <v>0</v>
      </c>
      <c r="M138" s="303">
        <f t="shared" si="18"/>
        <v>0</v>
      </c>
      <c r="N138" s="307">
        <f t="shared" si="19"/>
        <v>2.1282176021486521E-10</v>
      </c>
    </row>
    <row r="139" spans="2:14" x14ac:dyDescent="0.45">
      <c r="B139" s="306">
        <f t="shared" si="20"/>
        <v>48183</v>
      </c>
      <c r="C139" s="303">
        <f t="shared" si="21"/>
        <v>-1.2187229003757238E-10</v>
      </c>
      <c r="D139" s="303">
        <f t="shared" si="12"/>
        <v>0</v>
      </c>
      <c r="E139" s="303">
        <f t="shared" si="13"/>
        <v>0</v>
      </c>
      <c r="F139" s="303">
        <f t="shared" si="14"/>
        <v>0</v>
      </c>
      <c r="G139" s="307">
        <f t="shared" si="15"/>
        <v>-1.2187229003757238E-10</v>
      </c>
      <c r="I139" s="306">
        <f t="shared" si="22"/>
        <v>49188</v>
      </c>
      <c r="J139" s="303">
        <f t="shared" si="23"/>
        <v>2.1282176021486521E-10</v>
      </c>
      <c r="K139" s="303">
        <f t="shared" si="16"/>
        <v>0</v>
      </c>
      <c r="L139" s="303">
        <f t="shared" si="17"/>
        <v>0</v>
      </c>
      <c r="M139" s="303">
        <f t="shared" si="18"/>
        <v>0</v>
      </c>
      <c r="N139" s="307">
        <f t="shared" si="19"/>
        <v>2.1282176021486521E-10</v>
      </c>
    </row>
    <row r="140" spans="2:14" x14ac:dyDescent="0.45">
      <c r="B140" s="306">
        <f t="shared" si="20"/>
        <v>48214</v>
      </c>
      <c r="C140" s="303">
        <f t="shared" si="21"/>
        <v>-1.2187229003757238E-10</v>
      </c>
      <c r="D140" s="303">
        <f t="shared" ref="D140:D203" si="24">IF(ROUNDDOWN(C140,0)=0,0,PMT($E$4/12,$E$7,-$E$8)+$E$5)</f>
        <v>0</v>
      </c>
      <c r="E140" s="303">
        <f t="shared" ref="E140:E203" si="25">IF(ROUNDDOWN(C140,0)=0,0,(C140*$E$4/12)+$E$5)</f>
        <v>0</v>
      </c>
      <c r="F140" s="303">
        <f t="shared" ref="F140:F203" si="26">D140-E140</f>
        <v>0</v>
      </c>
      <c r="G140" s="307">
        <f t="shared" ref="G140:G203" si="27">C140-F140</f>
        <v>-1.2187229003757238E-10</v>
      </c>
      <c r="I140" s="306">
        <f t="shared" si="22"/>
        <v>49218</v>
      </c>
      <c r="J140" s="303">
        <f t="shared" si="23"/>
        <v>2.1282176021486521E-10</v>
      </c>
      <c r="K140" s="303">
        <f t="shared" ref="K140:K203" si="28">IF(ROUNDDOWN(J140,0)=0,0,PMT($L$4/12,$L$7,-$L$8)+$L$5)</f>
        <v>0</v>
      </c>
      <c r="L140" s="303">
        <f t="shared" ref="L140:L203" si="29">IF(ROUNDDOWN(J140,0)=0,0,(J140*$L$4/12)+$L$5)</f>
        <v>0</v>
      </c>
      <c r="M140" s="303">
        <f t="shared" ref="M140:M203" si="30">K140-L140</f>
        <v>0</v>
      </c>
      <c r="N140" s="307">
        <f t="shared" ref="N140:N203" si="31">J140-M140</f>
        <v>2.1282176021486521E-10</v>
      </c>
    </row>
    <row r="141" spans="2:14" x14ac:dyDescent="0.45">
      <c r="B141" s="306">
        <f t="shared" ref="B141:B204" si="32">EDATE(B140,1)</f>
        <v>48245</v>
      </c>
      <c r="C141" s="303">
        <f t="shared" ref="C141:C204" si="33">G140</f>
        <v>-1.2187229003757238E-10</v>
      </c>
      <c r="D141" s="303">
        <f t="shared" si="24"/>
        <v>0</v>
      </c>
      <c r="E141" s="303">
        <f t="shared" si="25"/>
        <v>0</v>
      </c>
      <c r="F141" s="303">
        <f t="shared" si="26"/>
        <v>0</v>
      </c>
      <c r="G141" s="307">
        <f t="shared" si="27"/>
        <v>-1.2187229003757238E-10</v>
      </c>
      <c r="I141" s="306">
        <f t="shared" ref="I141:I204" si="34">EDATE(I140,1)</f>
        <v>49249</v>
      </c>
      <c r="J141" s="303">
        <f t="shared" ref="J141:J204" si="35">N140</f>
        <v>2.1282176021486521E-10</v>
      </c>
      <c r="K141" s="303">
        <f t="shared" si="28"/>
        <v>0</v>
      </c>
      <c r="L141" s="303">
        <f t="shared" si="29"/>
        <v>0</v>
      </c>
      <c r="M141" s="303">
        <f t="shared" si="30"/>
        <v>0</v>
      </c>
      <c r="N141" s="307">
        <f t="shared" si="31"/>
        <v>2.1282176021486521E-10</v>
      </c>
    </row>
    <row r="142" spans="2:14" x14ac:dyDescent="0.45">
      <c r="B142" s="306">
        <f t="shared" si="32"/>
        <v>48274</v>
      </c>
      <c r="C142" s="303">
        <f t="shared" si="33"/>
        <v>-1.2187229003757238E-10</v>
      </c>
      <c r="D142" s="303">
        <f t="shared" si="24"/>
        <v>0</v>
      </c>
      <c r="E142" s="303">
        <f t="shared" si="25"/>
        <v>0</v>
      </c>
      <c r="F142" s="303">
        <f t="shared" si="26"/>
        <v>0</v>
      </c>
      <c r="G142" s="307">
        <f t="shared" si="27"/>
        <v>-1.2187229003757238E-10</v>
      </c>
      <c r="I142" s="306">
        <f t="shared" si="34"/>
        <v>49279</v>
      </c>
      <c r="J142" s="303">
        <f t="shared" si="35"/>
        <v>2.1282176021486521E-10</v>
      </c>
      <c r="K142" s="303">
        <f t="shared" si="28"/>
        <v>0</v>
      </c>
      <c r="L142" s="303">
        <f t="shared" si="29"/>
        <v>0</v>
      </c>
      <c r="M142" s="303">
        <f t="shared" si="30"/>
        <v>0</v>
      </c>
      <c r="N142" s="307">
        <f t="shared" si="31"/>
        <v>2.1282176021486521E-10</v>
      </c>
    </row>
    <row r="143" spans="2:14" x14ac:dyDescent="0.45">
      <c r="B143" s="306">
        <f t="shared" si="32"/>
        <v>48305</v>
      </c>
      <c r="C143" s="303">
        <f t="shared" si="33"/>
        <v>-1.2187229003757238E-10</v>
      </c>
      <c r="D143" s="303">
        <f t="shared" si="24"/>
        <v>0</v>
      </c>
      <c r="E143" s="303">
        <f t="shared" si="25"/>
        <v>0</v>
      </c>
      <c r="F143" s="303">
        <f t="shared" si="26"/>
        <v>0</v>
      </c>
      <c r="G143" s="307">
        <f t="shared" si="27"/>
        <v>-1.2187229003757238E-10</v>
      </c>
      <c r="I143" s="306">
        <f t="shared" si="34"/>
        <v>49310</v>
      </c>
      <c r="J143" s="303">
        <f t="shared" si="35"/>
        <v>2.1282176021486521E-10</v>
      </c>
      <c r="K143" s="303">
        <f t="shared" si="28"/>
        <v>0</v>
      </c>
      <c r="L143" s="303">
        <f t="shared" si="29"/>
        <v>0</v>
      </c>
      <c r="M143" s="303">
        <f t="shared" si="30"/>
        <v>0</v>
      </c>
      <c r="N143" s="307">
        <f t="shared" si="31"/>
        <v>2.1282176021486521E-10</v>
      </c>
    </row>
    <row r="144" spans="2:14" x14ac:dyDescent="0.45">
      <c r="B144" s="306">
        <f t="shared" si="32"/>
        <v>48335</v>
      </c>
      <c r="C144" s="303">
        <f t="shared" si="33"/>
        <v>-1.2187229003757238E-10</v>
      </c>
      <c r="D144" s="303">
        <f t="shared" si="24"/>
        <v>0</v>
      </c>
      <c r="E144" s="303">
        <f t="shared" si="25"/>
        <v>0</v>
      </c>
      <c r="F144" s="303">
        <f t="shared" si="26"/>
        <v>0</v>
      </c>
      <c r="G144" s="307">
        <f t="shared" si="27"/>
        <v>-1.2187229003757238E-10</v>
      </c>
      <c r="I144" s="306">
        <f t="shared" si="34"/>
        <v>49341</v>
      </c>
      <c r="J144" s="303">
        <f t="shared" si="35"/>
        <v>2.1282176021486521E-10</v>
      </c>
      <c r="K144" s="303">
        <f t="shared" si="28"/>
        <v>0</v>
      </c>
      <c r="L144" s="303">
        <f t="shared" si="29"/>
        <v>0</v>
      </c>
      <c r="M144" s="303">
        <f t="shared" si="30"/>
        <v>0</v>
      </c>
      <c r="N144" s="307">
        <f t="shared" si="31"/>
        <v>2.1282176021486521E-10</v>
      </c>
    </row>
    <row r="145" spans="2:14" x14ac:dyDescent="0.45">
      <c r="B145" s="306">
        <f t="shared" si="32"/>
        <v>48366</v>
      </c>
      <c r="C145" s="303">
        <f t="shared" si="33"/>
        <v>-1.2187229003757238E-10</v>
      </c>
      <c r="D145" s="303">
        <f t="shared" si="24"/>
        <v>0</v>
      </c>
      <c r="E145" s="303">
        <f t="shared" si="25"/>
        <v>0</v>
      </c>
      <c r="F145" s="303">
        <f t="shared" si="26"/>
        <v>0</v>
      </c>
      <c r="G145" s="307">
        <f t="shared" si="27"/>
        <v>-1.2187229003757238E-10</v>
      </c>
      <c r="I145" s="306">
        <f t="shared" si="34"/>
        <v>49369</v>
      </c>
      <c r="J145" s="303">
        <f t="shared" si="35"/>
        <v>2.1282176021486521E-10</v>
      </c>
      <c r="K145" s="303">
        <f t="shared" si="28"/>
        <v>0</v>
      </c>
      <c r="L145" s="303">
        <f t="shared" si="29"/>
        <v>0</v>
      </c>
      <c r="M145" s="303">
        <f t="shared" si="30"/>
        <v>0</v>
      </c>
      <c r="N145" s="307">
        <f t="shared" si="31"/>
        <v>2.1282176021486521E-10</v>
      </c>
    </row>
    <row r="146" spans="2:14" x14ac:dyDescent="0.45">
      <c r="B146" s="306">
        <f t="shared" si="32"/>
        <v>48396</v>
      </c>
      <c r="C146" s="303">
        <f t="shared" si="33"/>
        <v>-1.2187229003757238E-10</v>
      </c>
      <c r="D146" s="303">
        <f t="shared" si="24"/>
        <v>0</v>
      </c>
      <c r="E146" s="303">
        <f t="shared" si="25"/>
        <v>0</v>
      </c>
      <c r="F146" s="303">
        <f t="shared" si="26"/>
        <v>0</v>
      </c>
      <c r="G146" s="307">
        <f t="shared" si="27"/>
        <v>-1.2187229003757238E-10</v>
      </c>
      <c r="I146" s="306">
        <f t="shared" si="34"/>
        <v>49400</v>
      </c>
      <c r="J146" s="303">
        <f t="shared" si="35"/>
        <v>2.1282176021486521E-10</v>
      </c>
      <c r="K146" s="303">
        <f t="shared" si="28"/>
        <v>0</v>
      </c>
      <c r="L146" s="303">
        <f t="shared" si="29"/>
        <v>0</v>
      </c>
      <c r="M146" s="303">
        <f t="shared" si="30"/>
        <v>0</v>
      </c>
      <c r="N146" s="307">
        <f t="shared" si="31"/>
        <v>2.1282176021486521E-10</v>
      </c>
    </row>
    <row r="147" spans="2:14" x14ac:dyDescent="0.45">
      <c r="B147" s="306">
        <f t="shared" si="32"/>
        <v>48427</v>
      </c>
      <c r="C147" s="303">
        <f t="shared" si="33"/>
        <v>-1.2187229003757238E-10</v>
      </c>
      <c r="D147" s="303">
        <f t="shared" si="24"/>
        <v>0</v>
      </c>
      <c r="E147" s="303">
        <f t="shared" si="25"/>
        <v>0</v>
      </c>
      <c r="F147" s="303">
        <f t="shared" si="26"/>
        <v>0</v>
      </c>
      <c r="G147" s="307">
        <f t="shared" si="27"/>
        <v>-1.2187229003757238E-10</v>
      </c>
      <c r="I147" s="306">
        <f t="shared" si="34"/>
        <v>49430</v>
      </c>
      <c r="J147" s="303">
        <f t="shared" si="35"/>
        <v>2.1282176021486521E-10</v>
      </c>
      <c r="K147" s="303">
        <f t="shared" si="28"/>
        <v>0</v>
      </c>
      <c r="L147" s="303">
        <f t="shared" si="29"/>
        <v>0</v>
      </c>
      <c r="M147" s="303">
        <f t="shared" si="30"/>
        <v>0</v>
      </c>
      <c r="N147" s="307">
        <f t="shared" si="31"/>
        <v>2.1282176021486521E-10</v>
      </c>
    </row>
    <row r="148" spans="2:14" x14ac:dyDescent="0.45">
      <c r="B148" s="306">
        <f t="shared" si="32"/>
        <v>48458</v>
      </c>
      <c r="C148" s="303">
        <f t="shared" si="33"/>
        <v>-1.2187229003757238E-10</v>
      </c>
      <c r="D148" s="303">
        <f t="shared" si="24"/>
        <v>0</v>
      </c>
      <c r="E148" s="303">
        <f t="shared" si="25"/>
        <v>0</v>
      </c>
      <c r="F148" s="303">
        <f t="shared" si="26"/>
        <v>0</v>
      </c>
      <c r="G148" s="307">
        <f t="shared" si="27"/>
        <v>-1.2187229003757238E-10</v>
      </c>
      <c r="I148" s="306">
        <f t="shared" si="34"/>
        <v>49461</v>
      </c>
      <c r="J148" s="303">
        <f t="shared" si="35"/>
        <v>2.1282176021486521E-10</v>
      </c>
      <c r="K148" s="303">
        <f t="shared" si="28"/>
        <v>0</v>
      </c>
      <c r="L148" s="303">
        <f t="shared" si="29"/>
        <v>0</v>
      </c>
      <c r="M148" s="303">
        <f t="shared" si="30"/>
        <v>0</v>
      </c>
      <c r="N148" s="307">
        <f t="shared" si="31"/>
        <v>2.1282176021486521E-10</v>
      </c>
    </row>
    <row r="149" spans="2:14" x14ac:dyDescent="0.45">
      <c r="B149" s="306">
        <f t="shared" si="32"/>
        <v>48488</v>
      </c>
      <c r="C149" s="303">
        <f t="shared" si="33"/>
        <v>-1.2187229003757238E-10</v>
      </c>
      <c r="D149" s="303">
        <f t="shared" si="24"/>
        <v>0</v>
      </c>
      <c r="E149" s="303">
        <f t="shared" si="25"/>
        <v>0</v>
      </c>
      <c r="F149" s="303">
        <f t="shared" si="26"/>
        <v>0</v>
      </c>
      <c r="G149" s="307">
        <f t="shared" si="27"/>
        <v>-1.2187229003757238E-10</v>
      </c>
      <c r="I149" s="306">
        <f t="shared" si="34"/>
        <v>49491</v>
      </c>
      <c r="J149" s="303">
        <f t="shared" si="35"/>
        <v>2.1282176021486521E-10</v>
      </c>
      <c r="K149" s="303">
        <f t="shared" si="28"/>
        <v>0</v>
      </c>
      <c r="L149" s="303">
        <f t="shared" si="29"/>
        <v>0</v>
      </c>
      <c r="M149" s="303">
        <f t="shared" si="30"/>
        <v>0</v>
      </c>
      <c r="N149" s="307">
        <f t="shared" si="31"/>
        <v>2.1282176021486521E-10</v>
      </c>
    </row>
    <row r="150" spans="2:14" x14ac:dyDescent="0.45">
      <c r="B150" s="306">
        <f t="shared" si="32"/>
        <v>48519</v>
      </c>
      <c r="C150" s="303">
        <f t="shared" si="33"/>
        <v>-1.2187229003757238E-10</v>
      </c>
      <c r="D150" s="303">
        <f t="shared" si="24"/>
        <v>0</v>
      </c>
      <c r="E150" s="303">
        <f t="shared" si="25"/>
        <v>0</v>
      </c>
      <c r="F150" s="303">
        <f t="shared" si="26"/>
        <v>0</v>
      </c>
      <c r="G150" s="307">
        <f t="shared" si="27"/>
        <v>-1.2187229003757238E-10</v>
      </c>
      <c r="I150" s="306">
        <f t="shared" si="34"/>
        <v>49522</v>
      </c>
      <c r="J150" s="303">
        <f t="shared" si="35"/>
        <v>2.1282176021486521E-10</v>
      </c>
      <c r="K150" s="303">
        <f t="shared" si="28"/>
        <v>0</v>
      </c>
      <c r="L150" s="303">
        <f t="shared" si="29"/>
        <v>0</v>
      </c>
      <c r="M150" s="303">
        <f t="shared" si="30"/>
        <v>0</v>
      </c>
      <c r="N150" s="307">
        <f t="shared" si="31"/>
        <v>2.1282176021486521E-10</v>
      </c>
    </row>
    <row r="151" spans="2:14" x14ac:dyDescent="0.45">
      <c r="B151" s="306">
        <f t="shared" si="32"/>
        <v>48549</v>
      </c>
      <c r="C151" s="303">
        <f t="shared" si="33"/>
        <v>-1.2187229003757238E-10</v>
      </c>
      <c r="D151" s="303">
        <f t="shared" si="24"/>
        <v>0</v>
      </c>
      <c r="E151" s="303">
        <f t="shared" si="25"/>
        <v>0</v>
      </c>
      <c r="F151" s="303">
        <f t="shared" si="26"/>
        <v>0</v>
      </c>
      <c r="G151" s="307">
        <f t="shared" si="27"/>
        <v>-1.2187229003757238E-10</v>
      </c>
      <c r="I151" s="306">
        <f t="shared" si="34"/>
        <v>49553</v>
      </c>
      <c r="J151" s="303">
        <f t="shared" si="35"/>
        <v>2.1282176021486521E-10</v>
      </c>
      <c r="K151" s="303">
        <f t="shared" si="28"/>
        <v>0</v>
      </c>
      <c r="L151" s="303">
        <f t="shared" si="29"/>
        <v>0</v>
      </c>
      <c r="M151" s="303">
        <f t="shared" si="30"/>
        <v>0</v>
      </c>
      <c r="N151" s="307">
        <f t="shared" si="31"/>
        <v>2.1282176021486521E-10</v>
      </c>
    </row>
    <row r="152" spans="2:14" x14ac:dyDescent="0.45">
      <c r="B152" s="306">
        <f t="shared" si="32"/>
        <v>48580</v>
      </c>
      <c r="C152" s="303">
        <f t="shared" si="33"/>
        <v>-1.2187229003757238E-10</v>
      </c>
      <c r="D152" s="303">
        <f t="shared" si="24"/>
        <v>0</v>
      </c>
      <c r="E152" s="303">
        <f t="shared" si="25"/>
        <v>0</v>
      </c>
      <c r="F152" s="303">
        <f t="shared" si="26"/>
        <v>0</v>
      </c>
      <c r="G152" s="307">
        <f t="shared" si="27"/>
        <v>-1.2187229003757238E-10</v>
      </c>
      <c r="I152" s="306">
        <f t="shared" si="34"/>
        <v>49583</v>
      </c>
      <c r="J152" s="303">
        <f t="shared" si="35"/>
        <v>2.1282176021486521E-10</v>
      </c>
      <c r="K152" s="303">
        <f t="shared" si="28"/>
        <v>0</v>
      </c>
      <c r="L152" s="303">
        <f t="shared" si="29"/>
        <v>0</v>
      </c>
      <c r="M152" s="303">
        <f t="shared" si="30"/>
        <v>0</v>
      </c>
      <c r="N152" s="307">
        <f t="shared" si="31"/>
        <v>2.1282176021486521E-10</v>
      </c>
    </row>
    <row r="153" spans="2:14" x14ac:dyDescent="0.45">
      <c r="B153" s="306">
        <f t="shared" si="32"/>
        <v>48611</v>
      </c>
      <c r="C153" s="303">
        <f t="shared" si="33"/>
        <v>-1.2187229003757238E-10</v>
      </c>
      <c r="D153" s="303">
        <f t="shared" si="24"/>
        <v>0</v>
      </c>
      <c r="E153" s="303">
        <f t="shared" si="25"/>
        <v>0</v>
      </c>
      <c r="F153" s="303">
        <f t="shared" si="26"/>
        <v>0</v>
      </c>
      <c r="G153" s="307">
        <f t="shared" si="27"/>
        <v>-1.2187229003757238E-10</v>
      </c>
      <c r="I153" s="306">
        <f t="shared" si="34"/>
        <v>49614</v>
      </c>
      <c r="J153" s="303">
        <f t="shared" si="35"/>
        <v>2.1282176021486521E-10</v>
      </c>
      <c r="K153" s="303">
        <f t="shared" si="28"/>
        <v>0</v>
      </c>
      <c r="L153" s="303">
        <f t="shared" si="29"/>
        <v>0</v>
      </c>
      <c r="M153" s="303">
        <f t="shared" si="30"/>
        <v>0</v>
      </c>
      <c r="N153" s="307">
        <f t="shared" si="31"/>
        <v>2.1282176021486521E-10</v>
      </c>
    </row>
    <row r="154" spans="2:14" x14ac:dyDescent="0.45">
      <c r="B154" s="306">
        <f t="shared" si="32"/>
        <v>48639</v>
      </c>
      <c r="C154" s="303">
        <f t="shared" si="33"/>
        <v>-1.2187229003757238E-10</v>
      </c>
      <c r="D154" s="303">
        <f t="shared" si="24"/>
        <v>0</v>
      </c>
      <c r="E154" s="303">
        <f t="shared" si="25"/>
        <v>0</v>
      </c>
      <c r="F154" s="303">
        <f t="shared" si="26"/>
        <v>0</v>
      </c>
      <c r="G154" s="307">
        <f t="shared" si="27"/>
        <v>-1.2187229003757238E-10</v>
      </c>
      <c r="I154" s="306">
        <f t="shared" si="34"/>
        <v>49644</v>
      </c>
      <c r="J154" s="303">
        <f t="shared" si="35"/>
        <v>2.1282176021486521E-10</v>
      </c>
      <c r="K154" s="303">
        <f t="shared" si="28"/>
        <v>0</v>
      </c>
      <c r="L154" s="303">
        <f t="shared" si="29"/>
        <v>0</v>
      </c>
      <c r="M154" s="303">
        <f t="shared" si="30"/>
        <v>0</v>
      </c>
      <c r="N154" s="307">
        <f t="shared" si="31"/>
        <v>2.1282176021486521E-10</v>
      </c>
    </row>
    <row r="155" spans="2:14" x14ac:dyDescent="0.45">
      <c r="B155" s="306">
        <f t="shared" si="32"/>
        <v>48670</v>
      </c>
      <c r="C155" s="303">
        <f t="shared" si="33"/>
        <v>-1.2187229003757238E-10</v>
      </c>
      <c r="D155" s="303">
        <f t="shared" si="24"/>
        <v>0</v>
      </c>
      <c r="E155" s="303">
        <f t="shared" si="25"/>
        <v>0</v>
      </c>
      <c r="F155" s="303">
        <f t="shared" si="26"/>
        <v>0</v>
      </c>
      <c r="G155" s="307">
        <f t="shared" si="27"/>
        <v>-1.2187229003757238E-10</v>
      </c>
      <c r="I155" s="306">
        <f t="shared" si="34"/>
        <v>49675</v>
      </c>
      <c r="J155" s="303">
        <f t="shared" si="35"/>
        <v>2.1282176021486521E-10</v>
      </c>
      <c r="K155" s="303">
        <f t="shared" si="28"/>
        <v>0</v>
      </c>
      <c r="L155" s="303">
        <f t="shared" si="29"/>
        <v>0</v>
      </c>
      <c r="M155" s="303">
        <f t="shared" si="30"/>
        <v>0</v>
      </c>
      <c r="N155" s="307">
        <f t="shared" si="31"/>
        <v>2.1282176021486521E-10</v>
      </c>
    </row>
    <row r="156" spans="2:14" x14ac:dyDescent="0.45">
      <c r="B156" s="306">
        <f t="shared" si="32"/>
        <v>48700</v>
      </c>
      <c r="C156" s="303">
        <f t="shared" si="33"/>
        <v>-1.2187229003757238E-10</v>
      </c>
      <c r="D156" s="303">
        <f t="shared" si="24"/>
        <v>0</v>
      </c>
      <c r="E156" s="303">
        <f t="shared" si="25"/>
        <v>0</v>
      </c>
      <c r="F156" s="303">
        <f t="shared" si="26"/>
        <v>0</v>
      </c>
      <c r="G156" s="307">
        <f t="shared" si="27"/>
        <v>-1.2187229003757238E-10</v>
      </c>
      <c r="I156" s="306">
        <f t="shared" si="34"/>
        <v>49706</v>
      </c>
      <c r="J156" s="303">
        <f t="shared" si="35"/>
        <v>2.1282176021486521E-10</v>
      </c>
      <c r="K156" s="303">
        <f t="shared" si="28"/>
        <v>0</v>
      </c>
      <c r="L156" s="303">
        <f t="shared" si="29"/>
        <v>0</v>
      </c>
      <c r="M156" s="303">
        <f t="shared" si="30"/>
        <v>0</v>
      </c>
      <c r="N156" s="307">
        <f t="shared" si="31"/>
        <v>2.1282176021486521E-10</v>
      </c>
    </row>
    <row r="157" spans="2:14" x14ac:dyDescent="0.45">
      <c r="B157" s="306">
        <f t="shared" si="32"/>
        <v>48731</v>
      </c>
      <c r="C157" s="303">
        <f t="shared" si="33"/>
        <v>-1.2187229003757238E-10</v>
      </c>
      <c r="D157" s="303">
        <f t="shared" si="24"/>
        <v>0</v>
      </c>
      <c r="E157" s="303">
        <f t="shared" si="25"/>
        <v>0</v>
      </c>
      <c r="F157" s="303">
        <f t="shared" si="26"/>
        <v>0</v>
      </c>
      <c r="G157" s="307">
        <f t="shared" si="27"/>
        <v>-1.2187229003757238E-10</v>
      </c>
      <c r="I157" s="306">
        <f t="shared" si="34"/>
        <v>49735</v>
      </c>
      <c r="J157" s="303">
        <f t="shared" si="35"/>
        <v>2.1282176021486521E-10</v>
      </c>
      <c r="K157" s="303">
        <f t="shared" si="28"/>
        <v>0</v>
      </c>
      <c r="L157" s="303">
        <f t="shared" si="29"/>
        <v>0</v>
      </c>
      <c r="M157" s="303">
        <f t="shared" si="30"/>
        <v>0</v>
      </c>
      <c r="N157" s="307">
        <f t="shared" si="31"/>
        <v>2.1282176021486521E-10</v>
      </c>
    </row>
    <row r="158" spans="2:14" x14ac:dyDescent="0.45">
      <c r="B158" s="306">
        <f t="shared" si="32"/>
        <v>48761</v>
      </c>
      <c r="C158" s="303">
        <f t="shared" si="33"/>
        <v>-1.2187229003757238E-10</v>
      </c>
      <c r="D158" s="303">
        <f t="shared" si="24"/>
        <v>0</v>
      </c>
      <c r="E158" s="303">
        <f t="shared" si="25"/>
        <v>0</v>
      </c>
      <c r="F158" s="303">
        <f t="shared" si="26"/>
        <v>0</v>
      </c>
      <c r="G158" s="307">
        <f t="shared" si="27"/>
        <v>-1.2187229003757238E-10</v>
      </c>
      <c r="I158" s="306">
        <f t="shared" si="34"/>
        <v>49766</v>
      </c>
      <c r="J158" s="303">
        <f t="shared" si="35"/>
        <v>2.1282176021486521E-10</v>
      </c>
      <c r="K158" s="303">
        <f t="shared" si="28"/>
        <v>0</v>
      </c>
      <c r="L158" s="303">
        <f t="shared" si="29"/>
        <v>0</v>
      </c>
      <c r="M158" s="303">
        <f t="shared" si="30"/>
        <v>0</v>
      </c>
      <c r="N158" s="307">
        <f t="shared" si="31"/>
        <v>2.1282176021486521E-10</v>
      </c>
    </row>
    <row r="159" spans="2:14" x14ac:dyDescent="0.45">
      <c r="B159" s="306">
        <f t="shared" si="32"/>
        <v>48792</v>
      </c>
      <c r="C159" s="303">
        <f t="shared" si="33"/>
        <v>-1.2187229003757238E-10</v>
      </c>
      <c r="D159" s="303">
        <f t="shared" si="24"/>
        <v>0</v>
      </c>
      <c r="E159" s="303">
        <f t="shared" si="25"/>
        <v>0</v>
      </c>
      <c r="F159" s="303">
        <f t="shared" si="26"/>
        <v>0</v>
      </c>
      <c r="G159" s="307">
        <f t="shared" si="27"/>
        <v>-1.2187229003757238E-10</v>
      </c>
      <c r="I159" s="306">
        <f t="shared" si="34"/>
        <v>49796</v>
      </c>
      <c r="J159" s="303">
        <f t="shared" si="35"/>
        <v>2.1282176021486521E-10</v>
      </c>
      <c r="K159" s="303">
        <f t="shared" si="28"/>
        <v>0</v>
      </c>
      <c r="L159" s="303">
        <f t="shared" si="29"/>
        <v>0</v>
      </c>
      <c r="M159" s="303">
        <f t="shared" si="30"/>
        <v>0</v>
      </c>
      <c r="N159" s="307">
        <f t="shared" si="31"/>
        <v>2.1282176021486521E-10</v>
      </c>
    </row>
    <row r="160" spans="2:14" x14ac:dyDescent="0.45">
      <c r="B160" s="306">
        <f t="shared" si="32"/>
        <v>48823</v>
      </c>
      <c r="C160" s="303">
        <f t="shared" si="33"/>
        <v>-1.2187229003757238E-10</v>
      </c>
      <c r="D160" s="303">
        <f t="shared" si="24"/>
        <v>0</v>
      </c>
      <c r="E160" s="303">
        <f t="shared" si="25"/>
        <v>0</v>
      </c>
      <c r="F160" s="303">
        <f t="shared" si="26"/>
        <v>0</v>
      </c>
      <c r="G160" s="307">
        <f t="shared" si="27"/>
        <v>-1.2187229003757238E-10</v>
      </c>
      <c r="I160" s="306">
        <f t="shared" si="34"/>
        <v>49827</v>
      </c>
      <c r="J160" s="303">
        <f t="shared" si="35"/>
        <v>2.1282176021486521E-10</v>
      </c>
      <c r="K160" s="303">
        <f t="shared" si="28"/>
        <v>0</v>
      </c>
      <c r="L160" s="303">
        <f t="shared" si="29"/>
        <v>0</v>
      </c>
      <c r="M160" s="303">
        <f t="shared" si="30"/>
        <v>0</v>
      </c>
      <c r="N160" s="307">
        <f t="shared" si="31"/>
        <v>2.1282176021486521E-10</v>
      </c>
    </row>
    <row r="161" spans="2:14" x14ac:dyDescent="0.45">
      <c r="B161" s="306">
        <f t="shared" si="32"/>
        <v>48853</v>
      </c>
      <c r="C161" s="303">
        <f t="shared" si="33"/>
        <v>-1.2187229003757238E-10</v>
      </c>
      <c r="D161" s="303">
        <f t="shared" si="24"/>
        <v>0</v>
      </c>
      <c r="E161" s="303">
        <f t="shared" si="25"/>
        <v>0</v>
      </c>
      <c r="F161" s="303">
        <f t="shared" si="26"/>
        <v>0</v>
      </c>
      <c r="G161" s="307">
        <f t="shared" si="27"/>
        <v>-1.2187229003757238E-10</v>
      </c>
      <c r="I161" s="306">
        <f t="shared" si="34"/>
        <v>49857</v>
      </c>
      <c r="J161" s="303">
        <f t="shared" si="35"/>
        <v>2.1282176021486521E-10</v>
      </c>
      <c r="K161" s="303">
        <f t="shared" si="28"/>
        <v>0</v>
      </c>
      <c r="L161" s="303">
        <f t="shared" si="29"/>
        <v>0</v>
      </c>
      <c r="M161" s="303">
        <f t="shared" si="30"/>
        <v>0</v>
      </c>
      <c r="N161" s="307">
        <f t="shared" si="31"/>
        <v>2.1282176021486521E-10</v>
      </c>
    </row>
    <row r="162" spans="2:14" x14ac:dyDescent="0.45">
      <c r="B162" s="306">
        <f t="shared" si="32"/>
        <v>48884</v>
      </c>
      <c r="C162" s="303">
        <f t="shared" si="33"/>
        <v>-1.2187229003757238E-10</v>
      </c>
      <c r="D162" s="303">
        <f t="shared" si="24"/>
        <v>0</v>
      </c>
      <c r="E162" s="303">
        <f t="shared" si="25"/>
        <v>0</v>
      </c>
      <c r="F162" s="303">
        <f t="shared" si="26"/>
        <v>0</v>
      </c>
      <c r="G162" s="307">
        <f t="shared" si="27"/>
        <v>-1.2187229003757238E-10</v>
      </c>
      <c r="I162" s="306">
        <f t="shared" si="34"/>
        <v>49888</v>
      </c>
      <c r="J162" s="303">
        <f t="shared" si="35"/>
        <v>2.1282176021486521E-10</v>
      </c>
      <c r="K162" s="303">
        <f t="shared" si="28"/>
        <v>0</v>
      </c>
      <c r="L162" s="303">
        <f t="shared" si="29"/>
        <v>0</v>
      </c>
      <c r="M162" s="303">
        <f t="shared" si="30"/>
        <v>0</v>
      </c>
      <c r="N162" s="307">
        <f t="shared" si="31"/>
        <v>2.1282176021486521E-10</v>
      </c>
    </row>
    <row r="163" spans="2:14" x14ac:dyDescent="0.45">
      <c r="B163" s="306">
        <f t="shared" si="32"/>
        <v>48914</v>
      </c>
      <c r="C163" s="303">
        <f t="shared" si="33"/>
        <v>-1.2187229003757238E-10</v>
      </c>
      <c r="D163" s="303">
        <f t="shared" si="24"/>
        <v>0</v>
      </c>
      <c r="E163" s="303">
        <f t="shared" si="25"/>
        <v>0</v>
      </c>
      <c r="F163" s="303">
        <f t="shared" si="26"/>
        <v>0</v>
      </c>
      <c r="G163" s="307">
        <f t="shared" si="27"/>
        <v>-1.2187229003757238E-10</v>
      </c>
      <c r="I163" s="306">
        <f t="shared" si="34"/>
        <v>49919</v>
      </c>
      <c r="J163" s="303">
        <f t="shared" si="35"/>
        <v>2.1282176021486521E-10</v>
      </c>
      <c r="K163" s="303">
        <f t="shared" si="28"/>
        <v>0</v>
      </c>
      <c r="L163" s="303">
        <f t="shared" si="29"/>
        <v>0</v>
      </c>
      <c r="M163" s="303">
        <f t="shared" si="30"/>
        <v>0</v>
      </c>
      <c r="N163" s="307">
        <f t="shared" si="31"/>
        <v>2.1282176021486521E-10</v>
      </c>
    </row>
    <row r="164" spans="2:14" x14ac:dyDescent="0.45">
      <c r="B164" s="306">
        <f t="shared" si="32"/>
        <v>48945</v>
      </c>
      <c r="C164" s="303">
        <f t="shared" si="33"/>
        <v>-1.2187229003757238E-10</v>
      </c>
      <c r="D164" s="303">
        <f t="shared" si="24"/>
        <v>0</v>
      </c>
      <c r="E164" s="303">
        <f t="shared" si="25"/>
        <v>0</v>
      </c>
      <c r="F164" s="303">
        <f t="shared" si="26"/>
        <v>0</v>
      </c>
      <c r="G164" s="307">
        <f t="shared" si="27"/>
        <v>-1.2187229003757238E-10</v>
      </c>
      <c r="I164" s="306">
        <f t="shared" si="34"/>
        <v>49949</v>
      </c>
      <c r="J164" s="303">
        <f t="shared" si="35"/>
        <v>2.1282176021486521E-10</v>
      </c>
      <c r="K164" s="303">
        <f t="shared" si="28"/>
        <v>0</v>
      </c>
      <c r="L164" s="303">
        <f t="shared" si="29"/>
        <v>0</v>
      </c>
      <c r="M164" s="303">
        <f t="shared" si="30"/>
        <v>0</v>
      </c>
      <c r="N164" s="307">
        <f t="shared" si="31"/>
        <v>2.1282176021486521E-10</v>
      </c>
    </row>
    <row r="165" spans="2:14" x14ac:dyDescent="0.45">
      <c r="B165" s="306">
        <f t="shared" si="32"/>
        <v>48976</v>
      </c>
      <c r="C165" s="303">
        <f t="shared" si="33"/>
        <v>-1.2187229003757238E-10</v>
      </c>
      <c r="D165" s="303">
        <f t="shared" si="24"/>
        <v>0</v>
      </c>
      <c r="E165" s="303">
        <f t="shared" si="25"/>
        <v>0</v>
      </c>
      <c r="F165" s="303">
        <f t="shared" si="26"/>
        <v>0</v>
      </c>
      <c r="G165" s="307">
        <f t="shared" si="27"/>
        <v>-1.2187229003757238E-10</v>
      </c>
      <c r="I165" s="306">
        <f t="shared" si="34"/>
        <v>49980</v>
      </c>
      <c r="J165" s="303">
        <f t="shared" si="35"/>
        <v>2.1282176021486521E-10</v>
      </c>
      <c r="K165" s="303">
        <f t="shared" si="28"/>
        <v>0</v>
      </c>
      <c r="L165" s="303">
        <f t="shared" si="29"/>
        <v>0</v>
      </c>
      <c r="M165" s="303">
        <f t="shared" si="30"/>
        <v>0</v>
      </c>
      <c r="N165" s="307">
        <f t="shared" si="31"/>
        <v>2.1282176021486521E-10</v>
      </c>
    </row>
    <row r="166" spans="2:14" x14ac:dyDescent="0.45">
      <c r="B166" s="306">
        <f t="shared" si="32"/>
        <v>49004</v>
      </c>
      <c r="C166" s="303">
        <f t="shared" si="33"/>
        <v>-1.2187229003757238E-10</v>
      </c>
      <c r="D166" s="303">
        <f t="shared" si="24"/>
        <v>0</v>
      </c>
      <c r="E166" s="303">
        <f t="shared" si="25"/>
        <v>0</v>
      </c>
      <c r="F166" s="303">
        <f t="shared" si="26"/>
        <v>0</v>
      </c>
      <c r="G166" s="307">
        <f t="shared" si="27"/>
        <v>-1.2187229003757238E-10</v>
      </c>
      <c r="I166" s="306">
        <f t="shared" si="34"/>
        <v>50010</v>
      </c>
      <c r="J166" s="303">
        <f t="shared" si="35"/>
        <v>2.1282176021486521E-10</v>
      </c>
      <c r="K166" s="303">
        <f t="shared" si="28"/>
        <v>0</v>
      </c>
      <c r="L166" s="303">
        <f t="shared" si="29"/>
        <v>0</v>
      </c>
      <c r="M166" s="303">
        <f t="shared" si="30"/>
        <v>0</v>
      </c>
      <c r="N166" s="307">
        <f t="shared" si="31"/>
        <v>2.1282176021486521E-10</v>
      </c>
    </row>
    <row r="167" spans="2:14" x14ac:dyDescent="0.45">
      <c r="B167" s="306">
        <f t="shared" si="32"/>
        <v>49035</v>
      </c>
      <c r="C167" s="303">
        <f t="shared" si="33"/>
        <v>-1.2187229003757238E-10</v>
      </c>
      <c r="D167" s="303">
        <f t="shared" si="24"/>
        <v>0</v>
      </c>
      <c r="E167" s="303">
        <f t="shared" si="25"/>
        <v>0</v>
      </c>
      <c r="F167" s="303">
        <f t="shared" si="26"/>
        <v>0</v>
      </c>
      <c r="G167" s="307">
        <f t="shared" si="27"/>
        <v>-1.2187229003757238E-10</v>
      </c>
      <c r="I167" s="306">
        <f t="shared" si="34"/>
        <v>50041</v>
      </c>
      <c r="J167" s="303">
        <f t="shared" si="35"/>
        <v>2.1282176021486521E-10</v>
      </c>
      <c r="K167" s="303">
        <f t="shared" si="28"/>
        <v>0</v>
      </c>
      <c r="L167" s="303">
        <f t="shared" si="29"/>
        <v>0</v>
      </c>
      <c r="M167" s="303">
        <f t="shared" si="30"/>
        <v>0</v>
      </c>
      <c r="N167" s="307">
        <f t="shared" si="31"/>
        <v>2.1282176021486521E-10</v>
      </c>
    </row>
    <row r="168" spans="2:14" x14ac:dyDescent="0.45">
      <c r="B168" s="306">
        <f t="shared" si="32"/>
        <v>49065</v>
      </c>
      <c r="C168" s="303">
        <f t="shared" si="33"/>
        <v>-1.2187229003757238E-10</v>
      </c>
      <c r="D168" s="303">
        <f t="shared" si="24"/>
        <v>0</v>
      </c>
      <c r="E168" s="303">
        <f t="shared" si="25"/>
        <v>0</v>
      </c>
      <c r="F168" s="303">
        <f t="shared" si="26"/>
        <v>0</v>
      </c>
      <c r="G168" s="307">
        <f t="shared" si="27"/>
        <v>-1.2187229003757238E-10</v>
      </c>
      <c r="I168" s="306">
        <f t="shared" si="34"/>
        <v>50072</v>
      </c>
      <c r="J168" s="303">
        <f t="shared" si="35"/>
        <v>2.1282176021486521E-10</v>
      </c>
      <c r="K168" s="303">
        <f t="shared" si="28"/>
        <v>0</v>
      </c>
      <c r="L168" s="303">
        <f t="shared" si="29"/>
        <v>0</v>
      </c>
      <c r="M168" s="303">
        <f t="shared" si="30"/>
        <v>0</v>
      </c>
      <c r="N168" s="307">
        <f t="shared" si="31"/>
        <v>2.1282176021486521E-10</v>
      </c>
    </row>
    <row r="169" spans="2:14" x14ac:dyDescent="0.45">
      <c r="B169" s="306">
        <f t="shared" si="32"/>
        <v>49096</v>
      </c>
      <c r="C169" s="303">
        <f t="shared" si="33"/>
        <v>-1.2187229003757238E-10</v>
      </c>
      <c r="D169" s="303">
        <f t="shared" si="24"/>
        <v>0</v>
      </c>
      <c r="E169" s="303">
        <f t="shared" si="25"/>
        <v>0</v>
      </c>
      <c r="F169" s="303">
        <f t="shared" si="26"/>
        <v>0</v>
      </c>
      <c r="G169" s="307">
        <f t="shared" si="27"/>
        <v>-1.2187229003757238E-10</v>
      </c>
      <c r="I169" s="306">
        <f t="shared" si="34"/>
        <v>50100</v>
      </c>
      <c r="J169" s="303">
        <f t="shared" si="35"/>
        <v>2.1282176021486521E-10</v>
      </c>
      <c r="K169" s="303">
        <f t="shared" si="28"/>
        <v>0</v>
      </c>
      <c r="L169" s="303">
        <f t="shared" si="29"/>
        <v>0</v>
      </c>
      <c r="M169" s="303">
        <f t="shared" si="30"/>
        <v>0</v>
      </c>
      <c r="N169" s="307">
        <f t="shared" si="31"/>
        <v>2.1282176021486521E-10</v>
      </c>
    </row>
    <row r="170" spans="2:14" x14ac:dyDescent="0.45">
      <c r="B170" s="306">
        <f t="shared" si="32"/>
        <v>49126</v>
      </c>
      <c r="C170" s="303">
        <f t="shared" si="33"/>
        <v>-1.2187229003757238E-10</v>
      </c>
      <c r="D170" s="303">
        <f t="shared" si="24"/>
        <v>0</v>
      </c>
      <c r="E170" s="303">
        <f t="shared" si="25"/>
        <v>0</v>
      </c>
      <c r="F170" s="303">
        <f t="shared" si="26"/>
        <v>0</v>
      </c>
      <c r="G170" s="307">
        <f t="shared" si="27"/>
        <v>-1.2187229003757238E-10</v>
      </c>
      <c r="I170" s="306">
        <f t="shared" si="34"/>
        <v>50131</v>
      </c>
      <c r="J170" s="303">
        <f t="shared" si="35"/>
        <v>2.1282176021486521E-10</v>
      </c>
      <c r="K170" s="303">
        <f t="shared" si="28"/>
        <v>0</v>
      </c>
      <c r="L170" s="303">
        <f t="shared" si="29"/>
        <v>0</v>
      </c>
      <c r="M170" s="303">
        <f t="shared" si="30"/>
        <v>0</v>
      </c>
      <c r="N170" s="307">
        <f t="shared" si="31"/>
        <v>2.1282176021486521E-10</v>
      </c>
    </row>
    <row r="171" spans="2:14" x14ac:dyDescent="0.45">
      <c r="B171" s="306">
        <f t="shared" si="32"/>
        <v>49157</v>
      </c>
      <c r="C171" s="303">
        <f t="shared" si="33"/>
        <v>-1.2187229003757238E-10</v>
      </c>
      <c r="D171" s="303">
        <f t="shared" si="24"/>
        <v>0</v>
      </c>
      <c r="E171" s="303">
        <f t="shared" si="25"/>
        <v>0</v>
      </c>
      <c r="F171" s="303">
        <f t="shared" si="26"/>
        <v>0</v>
      </c>
      <c r="G171" s="307">
        <f t="shared" si="27"/>
        <v>-1.2187229003757238E-10</v>
      </c>
      <c r="I171" s="306">
        <f t="shared" si="34"/>
        <v>50161</v>
      </c>
      <c r="J171" s="303">
        <f t="shared" si="35"/>
        <v>2.1282176021486521E-10</v>
      </c>
      <c r="K171" s="303">
        <f t="shared" si="28"/>
        <v>0</v>
      </c>
      <c r="L171" s="303">
        <f t="shared" si="29"/>
        <v>0</v>
      </c>
      <c r="M171" s="303">
        <f t="shared" si="30"/>
        <v>0</v>
      </c>
      <c r="N171" s="307">
        <f t="shared" si="31"/>
        <v>2.1282176021486521E-10</v>
      </c>
    </row>
    <row r="172" spans="2:14" x14ac:dyDescent="0.45">
      <c r="B172" s="306">
        <f t="shared" si="32"/>
        <v>49188</v>
      </c>
      <c r="C172" s="303">
        <f t="shared" si="33"/>
        <v>-1.2187229003757238E-10</v>
      </c>
      <c r="D172" s="303">
        <f t="shared" si="24"/>
        <v>0</v>
      </c>
      <c r="E172" s="303">
        <f t="shared" si="25"/>
        <v>0</v>
      </c>
      <c r="F172" s="303">
        <f t="shared" si="26"/>
        <v>0</v>
      </c>
      <c r="G172" s="307">
        <f t="shared" si="27"/>
        <v>-1.2187229003757238E-10</v>
      </c>
      <c r="I172" s="306">
        <f t="shared" si="34"/>
        <v>50192</v>
      </c>
      <c r="J172" s="303">
        <f t="shared" si="35"/>
        <v>2.1282176021486521E-10</v>
      </c>
      <c r="K172" s="303">
        <f t="shared" si="28"/>
        <v>0</v>
      </c>
      <c r="L172" s="303">
        <f t="shared" si="29"/>
        <v>0</v>
      </c>
      <c r="M172" s="303">
        <f t="shared" si="30"/>
        <v>0</v>
      </c>
      <c r="N172" s="307">
        <f t="shared" si="31"/>
        <v>2.1282176021486521E-10</v>
      </c>
    </row>
    <row r="173" spans="2:14" x14ac:dyDescent="0.45">
      <c r="B173" s="306">
        <f t="shared" si="32"/>
        <v>49218</v>
      </c>
      <c r="C173" s="303">
        <f t="shared" si="33"/>
        <v>-1.2187229003757238E-10</v>
      </c>
      <c r="D173" s="303">
        <f t="shared" si="24"/>
        <v>0</v>
      </c>
      <c r="E173" s="303">
        <f t="shared" si="25"/>
        <v>0</v>
      </c>
      <c r="F173" s="303">
        <f t="shared" si="26"/>
        <v>0</v>
      </c>
      <c r="G173" s="307">
        <f t="shared" si="27"/>
        <v>-1.2187229003757238E-10</v>
      </c>
      <c r="I173" s="306">
        <f t="shared" si="34"/>
        <v>50222</v>
      </c>
      <c r="J173" s="303">
        <f t="shared" si="35"/>
        <v>2.1282176021486521E-10</v>
      </c>
      <c r="K173" s="303">
        <f t="shared" si="28"/>
        <v>0</v>
      </c>
      <c r="L173" s="303">
        <f t="shared" si="29"/>
        <v>0</v>
      </c>
      <c r="M173" s="303">
        <f t="shared" si="30"/>
        <v>0</v>
      </c>
      <c r="N173" s="307">
        <f t="shared" si="31"/>
        <v>2.1282176021486521E-10</v>
      </c>
    </row>
    <row r="174" spans="2:14" x14ac:dyDescent="0.45">
      <c r="B174" s="306">
        <f t="shared" si="32"/>
        <v>49249</v>
      </c>
      <c r="C174" s="303">
        <f t="shared" si="33"/>
        <v>-1.2187229003757238E-10</v>
      </c>
      <c r="D174" s="303">
        <f t="shared" si="24"/>
        <v>0</v>
      </c>
      <c r="E174" s="303">
        <f t="shared" si="25"/>
        <v>0</v>
      </c>
      <c r="F174" s="303">
        <f t="shared" si="26"/>
        <v>0</v>
      </c>
      <c r="G174" s="307">
        <f t="shared" si="27"/>
        <v>-1.2187229003757238E-10</v>
      </c>
      <c r="I174" s="306">
        <f t="shared" si="34"/>
        <v>50253</v>
      </c>
      <c r="J174" s="303">
        <f t="shared" si="35"/>
        <v>2.1282176021486521E-10</v>
      </c>
      <c r="K174" s="303">
        <f t="shared" si="28"/>
        <v>0</v>
      </c>
      <c r="L174" s="303">
        <f t="shared" si="29"/>
        <v>0</v>
      </c>
      <c r="M174" s="303">
        <f t="shared" si="30"/>
        <v>0</v>
      </c>
      <c r="N174" s="307">
        <f t="shared" si="31"/>
        <v>2.1282176021486521E-10</v>
      </c>
    </row>
    <row r="175" spans="2:14" x14ac:dyDescent="0.45">
      <c r="B175" s="306">
        <f t="shared" si="32"/>
        <v>49279</v>
      </c>
      <c r="C175" s="303">
        <f t="shared" si="33"/>
        <v>-1.2187229003757238E-10</v>
      </c>
      <c r="D175" s="303">
        <f t="shared" si="24"/>
        <v>0</v>
      </c>
      <c r="E175" s="303">
        <f t="shared" si="25"/>
        <v>0</v>
      </c>
      <c r="F175" s="303">
        <f t="shared" si="26"/>
        <v>0</v>
      </c>
      <c r="G175" s="307">
        <f t="shared" si="27"/>
        <v>-1.2187229003757238E-10</v>
      </c>
      <c r="I175" s="306">
        <f t="shared" si="34"/>
        <v>50284</v>
      </c>
      <c r="J175" s="303">
        <f t="shared" si="35"/>
        <v>2.1282176021486521E-10</v>
      </c>
      <c r="K175" s="303">
        <f t="shared" si="28"/>
        <v>0</v>
      </c>
      <c r="L175" s="303">
        <f t="shared" si="29"/>
        <v>0</v>
      </c>
      <c r="M175" s="303">
        <f t="shared" si="30"/>
        <v>0</v>
      </c>
      <c r="N175" s="307">
        <f t="shared" si="31"/>
        <v>2.1282176021486521E-10</v>
      </c>
    </row>
    <row r="176" spans="2:14" x14ac:dyDescent="0.45">
      <c r="B176" s="306">
        <f t="shared" si="32"/>
        <v>49310</v>
      </c>
      <c r="C176" s="303">
        <f t="shared" si="33"/>
        <v>-1.2187229003757238E-10</v>
      </c>
      <c r="D176" s="303">
        <f t="shared" si="24"/>
        <v>0</v>
      </c>
      <c r="E176" s="303">
        <f t="shared" si="25"/>
        <v>0</v>
      </c>
      <c r="F176" s="303">
        <f t="shared" si="26"/>
        <v>0</v>
      </c>
      <c r="G176" s="307">
        <f t="shared" si="27"/>
        <v>-1.2187229003757238E-10</v>
      </c>
      <c r="I176" s="306">
        <f t="shared" si="34"/>
        <v>50314</v>
      </c>
      <c r="J176" s="303">
        <f t="shared" si="35"/>
        <v>2.1282176021486521E-10</v>
      </c>
      <c r="K176" s="303">
        <f t="shared" si="28"/>
        <v>0</v>
      </c>
      <c r="L176" s="303">
        <f t="shared" si="29"/>
        <v>0</v>
      </c>
      <c r="M176" s="303">
        <f t="shared" si="30"/>
        <v>0</v>
      </c>
      <c r="N176" s="307">
        <f t="shared" si="31"/>
        <v>2.1282176021486521E-10</v>
      </c>
    </row>
    <row r="177" spans="2:14" x14ac:dyDescent="0.45">
      <c r="B177" s="306">
        <f t="shared" si="32"/>
        <v>49341</v>
      </c>
      <c r="C177" s="303">
        <f t="shared" si="33"/>
        <v>-1.2187229003757238E-10</v>
      </c>
      <c r="D177" s="303">
        <f t="shared" si="24"/>
        <v>0</v>
      </c>
      <c r="E177" s="303">
        <f t="shared" si="25"/>
        <v>0</v>
      </c>
      <c r="F177" s="303">
        <f t="shared" si="26"/>
        <v>0</v>
      </c>
      <c r="G177" s="307">
        <f t="shared" si="27"/>
        <v>-1.2187229003757238E-10</v>
      </c>
      <c r="I177" s="306">
        <f t="shared" si="34"/>
        <v>50345</v>
      </c>
      <c r="J177" s="303">
        <f t="shared" si="35"/>
        <v>2.1282176021486521E-10</v>
      </c>
      <c r="K177" s="303">
        <f t="shared" si="28"/>
        <v>0</v>
      </c>
      <c r="L177" s="303">
        <f t="shared" si="29"/>
        <v>0</v>
      </c>
      <c r="M177" s="303">
        <f t="shared" si="30"/>
        <v>0</v>
      </c>
      <c r="N177" s="307">
        <f t="shared" si="31"/>
        <v>2.1282176021486521E-10</v>
      </c>
    </row>
    <row r="178" spans="2:14" x14ac:dyDescent="0.45">
      <c r="B178" s="306">
        <f t="shared" si="32"/>
        <v>49369</v>
      </c>
      <c r="C178" s="303">
        <f t="shared" si="33"/>
        <v>-1.2187229003757238E-10</v>
      </c>
      <c r="D178" s="303">
        <f t="shared" si="24"/>
        <v>0</v>
      </c>
      <c r="E178" s="303">
        <f t="shared" si="25"/>
        <v>0</v>
      </c>
      <c r="F178" s="303">
        <f t="shared" si="26"/>
        <v>0</v>
      </c>
      <c r="G178" s="307">
        <f t="shared" si="27"/>
        <v>-1.2187229003757238E-10</v>
      </c>
      <c r="I178" s="306">
        <f t="shared" si="34"/>
        <v>50375</v>
      </c>
      <c r="J178" s="303">
        <f t="shared" si="35"/>
        <v>2.1282176021486521E-10</v>
      </c>
      <c r="K178" s="303">
        <f t="shared" si="28"/>
        <v>0</v>
      </c>
      <c r="L178" s="303">
        <f t="shared" si="29"/>
        <v>0</v>
      </c>
      <c r="M178" s="303">
        <f t="shared" si="30"/>
        <v>0</v>
      </c>
      <c r="N178" s="307">
        <f t="shared" si="31"/>
        <v>2.1282176021486521E-10</v>
      </c>
    </row>
    <row r="179" spans="2:14" x14ac:dyDescent="0.45">
      <c r="B179" s="306">
        <f t="shared" si="32"/>
        <v>49400</v>
      </c>
      <c r="C179" s="303">
        <f t="shared" si="33"/>
        <v>-1.2187229003757238E-10</v>
      </c>
      <c r="D179" s="303">
        <f t="shared" si="24"/>
        <v>0</v>
      </c>
      <c r="E179" s="303">
        <f t="shared" si="25"/>
        <v>0</v>
      </c>
      <c r="F179" s="303">
        <f t="shared" si="26"/>
        <v>0</v>
      </c>
      <c r="G179" s="307">
        <f t="shared" si="27"/>
        <v>-1.2187229003757238E-10</v>
      </c>
      <c r="I179" s="306">
        <f t="shared" si="34"/>
        <v>50406</v>
      </c>
      <c r="J179" s="303">
        <f t="shared" si="35"/>
        <v>2.1282176021486521E-10</v>
      </c>
      <c r="K179" s="303">
        <f t="shared" si="28"/>
        <v>0</v>
      </c>
      <c r="L179" s="303">
        <f t="shared" si="29"/>
        <v>0</v>
      </c>
      <c r="M179" s="303">
        <f t="shared" si="30"/>
        <v>0</v>
      </c>
      <c r="N179" s="307">
        <f t="shared" si="31"/>
        <v>2.1282176021486521E-10</v>
      </c>
    </row>
    <row r="180" spans="2:14" x14ac:dyDescent="0.45">
      <c r="B180" s="306">
        <f t="shared" si="32"/>
        <v>49430</v>
      </c>
      <c r="C180" s="303">
        <f t="shared" si="33"/>
        <v>-1.2187229003757238E-10</v>
      </c>
      <c r="D180" s="303">
        <f t="shared" si="24"/>
        <v>0</v>
      </c>
      <c r="E180" s="303">
        <f t="shared" si="25"/>
        <v>0</v>
      </c>
      <c r="F180" s="303">
        <f t="shared" si="26"/>
        <v>0</v>
      </c>
      <c r="G180" s="307">
        <f t="shared" si="27"/>
        <v>-1.2187229003757238E-10</v>
      </c>
      <c r="I180" s="306">
        <f t="shared" si="34"/>
        <v>50437</v>
      </c>
      <c r="J180" s="303">
        <f t="shared" si="35"/>
        <v>2.1282176021486521E-10</v>
      </c>
      <c r="K180" s="303">
        <f t="shared" si="28"/>
        <v>0</v>
      </c>
      <c r="L180" s="303">
        <f t="shared" si="29"/>
        <v>0</v>
      </c>
      <c r="M180" s="303">
        <f t="shared" si="30"/>
        <v>0</v>
      </c>
      <c r="N180" s="307">
        <f t="shared" si="31"/>
        <v>2.1282176021486521E-10</v>
      </c>
    </row>
    <row r="181" spans="2:14" x14ac:dyDescent="0.45">
      <c r="B181" s="306">
        <f t="shared" si="32"/>
        <v>49461</v>
      </c>
      <c r="C181" s="303">
        <f t="shared" si="33"/>
        <v>-1.2187229003757238E-10</v>
      </c>
      <c r="D181" s="303">
        <f t="shared" si="24"/>
        <v>0</v>
      </c>
      <c r="E181" s="303">
        <f t="shared" si="25"/>
        <v>0</v>
      </c>
      <c r="F181" s="303">
        <f t="shared" si="26"/>
        <v>0</v>
      </c>
      <c r="G181" s="307">
        <f t="shared" si="27"/>
        <v>-1.2187229003757238E-10</v>
      </c>
      <c r="I181" s="306">
        <f t="shared" si="34"/>
        <v>50465</v>
      </c>
      <c r="J181" s="303">
        <f t="shared" si="35"/>
        <v>2.1282176021486521E-10</v>
      </c>
      <c r="K181" s="303">
        <f t="shared" si="28"/>
        <v>0</v>
      </c>
      <c r="L181" s="303">
        <f t="shared" si="29"/>
        <v>0</v>
      </c>
      <c r="M181" s="303">
        <f t="shared" si="30"/>
        <v>0</v>
      </c>
      <c r="N181" s="307">
        <f t="shared" si="31"/>
        <v>2.1282176021486521E-10</v>
      </c>
    </row>
    <row r="182" spans="2:14" x14ac:dyDescent="0.45">
      <c r="B182" s="306">
        <f t="shared" si="32"/>
        <v>49491</v>
      </c>
      <c r="C182" s="303">
        <f t="shared" si="33"/>
        <v>-1.2187229003757238E-10</v>
      </c>
      <c r="D182" s="303">
        <f t="shared" si="24"/>
        <v>0</v>
      </c>
      <c r="E182" s="303">
        <f t="shared" si="25"/>
        <v>0</v>
      </c>
      <c r="F182" s="303">
        <f t="shared" si="26"/>
        <v>0</v>
      </c>
      <c r="G182" s="307">
        <f t="shared" si="27"/>
        <v>-1.2187229003757238E-10</v>
      </c>
      <c r="I182" s="306">
        <f t="shared" si="34"/>
        <v>50496</v>
      </c>
      <c r="J182" s="303">
        <f t="shared" si="35"/>
        <v>2.1282176021486521E-10</v>
      </c>
      <c r="K182" s="303">
        <f t="shared" si="28"/>
        <v>0</v>
      </c>
      <c r="L182" s="303">
        <f t="shared" si="29"/>
        <v>0</v>
      </c>
      <c r="M182" s="303">
        <f t="shared" si="30"/>
        <v>0</v>
      </c>
      <c r="N182" s="307">
        <f t="shared" si="31"/>
        <v>2.1282176021486521E-10</v>
      </c>
    </row>
    <row r="183" spans="2:14" x14ac:dyDescent="0.45">
      <c r="B183" s="306">
        <f t="shared" si="32"/>
        <v>49522</v>
      </c>
      <c r="C183" s="303">
        <f t="shared" si="33"/>
        <v>-1.2187229003757238E-10</v>
      </c>
      <c r="D183" s="303">
        <f t="shared" si="24"/>
        <v>0</v>
      </c>
      <c r="E183" s="303">
        <f t="shared" si="25"/>
        <v>0</v>
      </c>
      <c r="F183" s="303">
        <f t="shared" si="26"/>
        <v>0</v>
      </c>
      <c r="G183" s="307">
        <f t="shared" si="27"/>
        <v>-1.2187229003757238E-10</v>
      </c>
      <c r="I183" s="306">
        <f t="shared" si="34"/>
        <v>50526</v>
      </c>
      <c r="J183" s="303">
        <f t="shared" si="35"/>
        <v>2.1282176021486521E-10</v>
      </c>
      <c r="K183" s="303">
        <f t="shared" si="28"/>
        <v>0</v>
      </c>
      <c r="L183" s="303">
        <f t="shared" si="29"/>
        <v>0</v>
      </c>
      <c r="M183" s="303">
        <f t="shared" si="30"/>
        <v>0</v>
      </c>
      <c r="N183" s="307">
        <f t="shared" si="31"/>
        <v>2.1282176021486521E-10</v>
      </c>
    </row>
    <row r="184" spans="2:14" x14ac:dyDescent="0.45">
      <c r="B184" s="306">
        <f t="shared" si="32"/>
        <v>49553</v>
      </c>
      <c r="C184" s="303">
        <f t="shared" si="33"/>
        <v>-1.2187229003757238E-10</v>
      </c>
      <c r="D184" s="303">
        <f t="shared" si="24"/>
        <v>0</v>
      </c>
      <c r="E184" s="303">
        <f t="shared" si="25"/>
        <v>0</v>
      </c>
      <c r="F184" s="303">
        <f t="shared" si="26"/>
        <v>0</v>
      </c>
      <c r="G184" s="307">
        <f t="shared" si="27"/>
        <v>-1.2187229003757238E-10</v>
      </c>
      <c r="I184" s="306">
        <f t="shared" si="34"/>
        <v>50557</v>
      </c>
      <c r="J184" s="303">
        <f t="shared" si="35"/>
        <v>2.1282176021486521E-10</v>
      </c>
      <c r="K184" s="303">
        <f t="shared" si="28"/>
        <v>0</v>
      </c>
      <c r="L184" s="303">
        <f t="shared" si="29"/>
        <v>0</v>
      </c>
      <c r="M184" s="303">
        <f t="shared" si="30"/>
        <v>0</v>
      </c>
      <c r="N184" s="307">
        <f t="shared" si="31"/>
        <v>2.1282176021486521E-10</v>
      </c>
    </row>
    <row r="185" spans="2:14" x14ac:dyDescent="0.45">
      <c r="B185" s="306">
        <f t="shared" si="32"/>
        <v>49583</v>
      </c>
      <c r="C185" s="303">
        <f t="shared" si="33"/>
        <v>-1.2187229003757238E-10</v>
      </c>
      <c r="D185" s="303">
        <f t="shared" si="24"/>
        <v>0</v>
      </c>
      <c r="E185" s="303">
        <f t="shared" si="25"/>
        <v>0</v>
      </c>
      <c r="F185" s="303">
        <f t="shared" si="26"/>
        <v>0</v>
      </c>
      <c r="G185" s="307">
        <f t="shared" si="27"/>
        <v>-1.2187229003757238E-10</v>
      </c>
      <c r="I185" s="306">
        <f t="shared" si="34"/>
        <v>50587</v>
      </c>
      <c r="J185" s="303">
        <f t="shared" si="35"/>
        <v>2.1282176021486521E-10</v>
      </c>
      <c r="K185" s="303">
        <f t="shared" si="28"/>
        <v>0</v>
      </c>
      <c r="L185" s="303">
        <f t="shared" si="29"/>
        <v>0</v>
      </c>
      <c r="M185" s="303">
        <f t="shared" si="30"/>
        <v>0</v>
      </c>
      <c r="N185" s="307">
        <f t="shared" si="31"/>
        <v>2.1282176021486521E-10</v>
      </c>
    </row>
    <row r="186" spans="2:14" x14ac:dyDescent="0.45">
      <c r="B186" s="306">
        <f t="shared" si="32"/>
        <v>49614</v>
      </c>
      <c r="C186" s="303">
        <f t="shared" si="33"/>
        <v>-1.2187229003757238E-10</v>
      </c>
      <c r="D186" s="303">
        <f t="shared" si="24"/>
        <v>0</v>
      </c>
      <c r="E186" s="303">
        <f t="shared" si="25"/>
        <v>0</v>
      </c>
      <c r="F186" s="303">
        <f t="shared" si="26"/>
        <v>0</v>
      </c>
      <c r="G186" s="307">
        <f t="shared" si="27"/>
        <v>-1.2187229003757238E-10</v>
      </c>
      <c r="I186" s="306">
        <f t="shared" si="34"/>
        <v>50618</v>
      </c>
      <c r="J186" s="303">
        <f t="shared" si="35"/>
        <v>2.1282176021486521E-10</v>
      </c>
      <c r="K186" s="303">
        <f t="shared" si="28"/>
        <v>0</v>
      </c>
      <c r="L186" s="303">
        <f t="shared" si="29"/>
        <v>0</v>
      </c>
      <c r="M186" s="303">
        <f t="shared" si="30"/>
        <v>0</v>
      </c>
      <c r="N186" s="307">
        <f t="shared" si="31"/>
        <v>2.1282176021486521E-10</v>
      </c>
    </row>
    <row r="187" spans="2:14" x14ac:dyDescent="0.45">
      <c r="B187" s="306">
        <f t="shared" si="32"/>
        <v>49644</v>
      </c>
      <c r="C187" s="303">
        <f t="shared" si="33"/>
        <v>-1.2187229003757238E-10</v>
      </c>
      <c r="D187" s="303">
        <f t="shared" si="24"/>
        <v>0</v>
      </c>
      <c r="E187" s="303">
        <f t="shared" si="25"/>
        <v>0</v>
      </c>
      <c r="F187" s="303">
        <f t="shared" si="26"/>
        <v>0</v>
      </c>
      <c r="G187" s="307">
        <f t="shared" si="27"/>
        <v>-1.2187229003757238E-10</v>
      </c>
      <c r="I187" s="306">
        <f t="shared" si="34"/>
        <v>50649</v>
      </c>
      <c r="J187" s="303">
        <f t="shared" si="35"/>
        <v>2.1282176021486521E-10</v>
      </c>
      <c r="K187" s="303">
        <f t="shared" si="28"/>
        <v>0</v>
      </c>
      <c r="L187" s="303">
        <f t="shared" si="29"/>
        <v>0</v>
      </c>
      <c r="M187" s="303">
        <f t="shared" si="30"/>
        <v>0</v>
      </c>
      <c r="N187" s="307">
        <f t="shared" si="31"/>
        <v>2.1282176021486521E-10</v>
      </c>
    </row>
    <row r="188" spans="2:14" x14ac:dyDescent="0.45">
      <c r="B188" s="306">
        <f t="shared" si="32"/>
        <v>49675</v>
      </c>
      <c r="C188" s="303">
        <f t="shared" si="33"/>
        <v>-1.2187229003757238E-10</v>
      </c>
      <c r="D188" s="303">
        <f t="shared" si="24"/>
        <v>0</v>
      </c>
      <c r="E188" s="303">
        <f t="shared" si="25"/>
        <v>0</v>
      </c>
      <c r="F188" s="303">
        <f t="shared" si="26"/>
        <v>0</v>
      </c>
      <c r="G188" s="307">
        <f t="shared" si="27"/>
        <v>-1.2187229003757238E-10</v>
      </c>
      <c r="I188" s="306">
        <f t="shared" si="34"/>
        <v>50679</v>
      </c>
      <c r="J188" s="303">
        <f t="shared" si="35"/>
        <v>2.1282176021486521E-10</v>
      </c>
      <c r="K188" s="303">
        <f t="shared" si="28"/>
        <v>0</v>
      </c>
      <c r="L188" s="303">
        <f t="shared" si="29"/>
        <v>0</v>
      </c>
      <c r="M188" s="303">
        <f t="shared" si="30"/>
        <v>0</v>
      </c>
      <c r="N188" s="307">
        <f t="shared" si="31"/>
        <v>2.1282176021486521E-10</v>
      </c>
    </row>
    <row r="189" spans="2:14" x14ac:dyDescent="0.45">
      <c r="B189" s="306">
        <f t="shared" si="32"/>
        <v>49706</v>
      </c>
      <c r="C189" s="303">
        <f t="shared" si="33"/>
        <v>-1.2187229003757238E-10</v>
      </c>
      <c r="D189" s="303">
        <f t="shared" si="24"/>
        <v>0</v>
      </c>
      <c r="E189" s="303">
        <f t="shared" si="25"/>
        <v>0</v>
      </c>
      <c r="F189" s="303">
        <f t="shared" si="26"/>
        <v>0</v>
      </c>
      <c r="G189" s="307">
        <f t="shared" si="27"/>
        <v>-1.2187229003757238E-10</v>
      </c>
      <c r="I189" s="306">
        <f t="shared" si="34"/>
        <v>50710</v>
      </c>
      <c r="J189" s="303">
        <f t="shared" si="35"/>
        <v>2.1282176021486521E-10</v>
      </c>
      <c r="K189" s="303">
        <f t="shared" si="28"/>
        <v>0</v>
      </c>
      <c r="L189" s="303">
        <f t="shared" si="29"/>
        <v>0</v>
      </c>
      <c r="M189" s="303">
        <f t="shared" si="30"/>
        <v>0</v>
      </c>
      <c r="N189" s="307">
        <f t="shared" si="31"/>
        <v>2.1282176021486521E-10</v>
      </c>
    </row>
    <row r="190" spans="2:14" x14ac:dyDescent="0.45">
      <c r="B190" s="306">
        <f t="shared" si="32"/>
        <v>49735</v>
      </c>
      <c r="C190" s="303">
        <f t="shared" si="33"/>
        <v>-1.2187229003757238E-10</v>
      </c>
      <c r="D190" s="303">
        <f t="shared" si="24"/>
        <v>0</v>
      </c>
      <c r="E190" s="303">
        <f t="shared" si="25"/>
        <v>0</v>
      </c>
      <c r="F190" s="303">
        <f t="shared" si="26"/>
        <v>0</v>
      </c>
      <c r="G190" s="307">
        <f t="shared" si="27"/>
        <v>-1.2187229003757238E-10</v>
      </c>
      <c r="I190" s="306">
        <f t="shared" si="34"/>
        <v>50740</v>
      </c>
      <c r="J190" s="303">
        <f t="shared" si="35"/>
        <v>2.1282176021486521E-10</v>
      </c>
      <c r="K190" s="303">
        <f t="shared" si="28"/>
        <v>0</v>
      </c>
      <c r="L190" s="303">
        <f t="shared" si="29"/>
        <v>0</v>
      </c>
      <c r="M190" s="303">
        <f t="shared" si="30"/>
        <v>0</v>
      </c>
      <c r="N190" s="307">
        <f t="shared" si="31"/>
        <v>2.1282176021486521E-10</v>
      </c>
    </row>
    <row r="191" spans="2:14" x14ac:dyDescent="0.45">
      <c r="B191" s="306">
        <f t="shared" si="32"/>
        <v>49766</v>
      </c>
      <c r="C191" s="303">
        <f t="shared" si="33"/>
        <v>-1.2187229003757238E-10</v>
      </c>
      <c r="D191" s="303">
        <f t="shared" si="24"/>
        <v>0</v>
      </c>
      <c r="E191" s="303">
        <f t="shared" si="25"/>
        <v>0</v>
      </c>
      <c r="F191" s="303">
        <f t="shared" si="26"/>
        <v>0</v>
      </c>
      <c r="G191" s="307">
        <f t="shared" si="27"/>
        <v>-1.2187229003757238E-10</v>
      </c>
      <c r="I191" s="306">
        <f t="shared" si="34"/>
        <v>50771</v>
      </c>
      <c r="J191" s="303">
        <f t="shared" si="35"/>
        <v>2.1282176021486521E-10</v>
      </c>
      <c r="K191" s="303">
        <f t="shared" si="28"/>
        <v>0</v>
      </c>
      <c r="L191" s="303">
        <f t="shared" si="29"/>
        <v>0</v>
      </c>
      <c r="M191" s="303">
        <f t="shared" si="30"/>
        <v>0</v>
      </c>
      <c r="N191" s="307">
        <f t="shared" si="31"/>
        <v>2.1282176021486521E-10</v>
      </c>
    </row>
    <row r="192" spans="2:14" x14ac:dyDescent="0.45">
      <c r="B192" s="306">
        <f t="shared" si="32"/>
        <v>49796</v>
      </c>
      <c r="C192" s="303">
        <f t="shared" si="33"/>
        <v>-1.2187229003757238E-10</v>
      </c>
      <c r="D192" s="303">
        <f t="shared" si="24"/>
        <v>0</v>
      </c>
      <c r="E192" s="303">
        <f t="shared" si="25"/>
        <v>0</v>
      </c>
      <c r="F192" s="303">
        <f t="shared" si="26"/>
        <v>0</v>
      </c>
      <c r="G192" s="307">
        <f t="shared" si="27"/>
        <v>-1.2187229003757238E-10</v>
      </c>
      <c r="I192" s="306">
        <f t="shared" si="34"/>
        <v>50802</v>
      </c>
      <c r="J192" s="303">
        <f t="shared" si="35"/>
        <v>2.1282176021486521E-10</v>
      </c>
      <c r="K192" s="303">
        <f t="shared" si="28"/>
        <v>0</v>
      </c>
      <c r="L192" s="303">
        <f t="shared" si="29"/>
        <v>0</v>
      </c>
      <c r="M192" s="303">
        <f t="shared" si="30"/>
        <v>0</v>
      </c>
      <c r="N192" s="307">
        <f t="shared" si="31"/>
        <v>2.1282176021486521E-10</v>
      </c>
    </row>
    <row r="193" spans="2:14" x14ac:dyDescent="0.45">
      <c r="B193" s="306">
        <f t="shared" si="32"/>
        <v>49827</v>
      </c>
      <c r="C193" s="303">
        <f t="shared" si="33"/>
        <v>-1.2187229003757238E-10</v>
      </c>
      <c r="D193" s="303">
        <f t="shared" si="24"/>
        <v>0</v>
      </c>
      <c r="E193" s="303">
        <f t="shared" si="25"/>
        <v>0</v>
      </c>
      <c r="F193" s="303">
        <f t="shared" si="26"/>
        <v>0</v>
      </c>
      <c r="G193" s="307">
        <f t="shared" si="27"/>
        <v>-1.2187229003757238E-10</v>
      </c>
      <c r="I193" s="306">
        <f t="shared" si="34"/>
        <v>50830</v>
      </c>
      <c r="J193" s="303">
        <f t="shared" si="35"/>
        <v>2.1282176021486521E-10</v>
      </c>
      <c r="K193" s="303">
        <f t="shared" si="28"/>
        <v>0</v>
      </c>
      <c r="L193" s="303">
        <f t="shared" si="29"/>
        <v>0</v>
      </c>
      <c r="M193" s="303">
        <f t="shared" si="30"/>
        <v>0</v>
      </c>
      <c r="N193" s="307">
        <f t="shared" si="31"/>
        <v>2.1282176021486521E-10</v>
      </c>
    </row>
    <row r="194" spans="2:14" x14ac:dyDescent="0.45">
      <c r="B194" s="306">
        <f t="shared" si="32"/>
        <v>49857</v>
      </c>
      <c r="C194" s="303">
        <f t="shared" si="33"/>
        <v>-1.2187229003757238E-10</v>
      </c>
      <c r="D194" s="303">
        <f t="shared" si="24"/>
        <v>0</v>
      </c>
      <c r="E194" s="303">
        <f t="shared" si="25"/>
        <v>0</v>
      </c>
      <c r="F194" s="303">
        <f t="shared" si="26"/>
        <v>0</v>
      </c>
      <c r="G194" s="307">
        <f t="shared" si="27"/>
        <v>-1.2187229003757238E-10</v>
      </c>
      <c r="I194" s="306">
        <f t="shared" si="34"/>
        <v>50861</v>
      </c>
      <c r="J194" s="303">
        <f t="shared" si="35"/>
        <v>2.1282176021486521E-10</v>
      </c>
      <c r="K194" s="303">
        <f t="shared" si="28"/>
        <v>0</v>
      </c>
      <c r="L194" s="303">
        <f t="shared" si="29"/>
        <v>0</v>
      </c>
      <c r="M194" s="303">
        <f t="shared" si="30"/>
        <v>0</v>
      </c>
      <c r="N194" s="307">
        <f t="shared" si="31"/>
        <v>2.1282176021486521E-10</v>
      </c>
    </row>
    <row r="195" spans="2:14" x14ac:dyDescent="0.45">
      <c r="B195" s="306">
        <f t="shared" si="32"/>
        <v>49888</v>
      </c>
      <c r="C195" s="303">
        <f t="shared" si="33"/>
        <v>-1.2187229003757238E-10</v>
      </c>
      <c r="D195" s="303">
        <f t="shared" si="24"/>
        <v>0</v>
      </c>
      <c r="E195" s="303">
        <f t="shared" si="25"/>
        <v>0</v>
      </c>
      <c r="F195" s="303">
        <f t="shared" si="26"/>
        <v>0</v>
      </c>
      <c r="G195" s="307">
        <f t="shared" si="27"/>
        <v>-1.2187229003757238E-10</v>
      </c>
      <c r="I195" s="306">
        <f t="shared" si="34"/>
        <v>50891</v>
      </c>
      <c r="J195" s="303">
        <f t="shared" si="35"/>
        <v>2.1282176021486521E-10</v>
      </c>
      <c r="K195" s="303">
        <f t="shared" si="28"/>
        <v>0</v>
      </c>
      <c r="L195" s="303">
        <f t="shared" si="29"/>
        <v>0</v>
      </c>
      <c r="M195" s="303">
        <f t="shared" si="30"/>
        <v>0</v>
      </c>
      <c r="N195" s="307">
        <f t="shared" si="31"/>
        <v>2.1282176021486521E-10</v>
      </c>
    </row>
    <row r="196" spans="2:14" x14ac:dyDescent="0.45">
      <c r="B196" s="306">
        <f t="shared" si="32"/>
        <v>49919</v>
      </c>
      <c r="C196" s="303">
        <f t="shared" si="33"/>
        <v>-1.2187229003757238E-10</v>
      </c>
      <c r="D196" s="303">
        <f t="shared" si="24"/>
        <v>0</v>
      </c>
      <c r="E196" s="303">
        <f t="shared" si="25"/>
        <v>0</v>
      </c>
      <c r="F196" s="303">
        <f t="shared" si="26"/>
        <v>0</v>
      </c>
      <c r="G196" s="307">
        <f t="shared" si="27"/>
        <v>-1.2187229003757238E-10</v>
      </c>
      <c r="I196" s="306">
        <f t="shared" si="34"/>
        <v>50922</v>
      </c>
      <c r="J196" s="303">
        <f t="shared" si="35"/>
        <v>2.1282176021486521E-10</v>
      </c>
      <c r="K196" s="303">
        <f t="shared" si="28"/>
        <v>0</v>
      </c>
      <c r="L196" s="303">
        <f t="shared" si="29"/>
        <v>0</v>
      </c>
      <c r="M196" s="303">
        <f t="shared" si="30"/>
        <v>0</v>
      </c>
      <c r="N196" s="307">
        <f t="shared" si="31"/>
        <v>2.1282176021486521E-10</v>
      </c>
    </row>
    <row r="197" spans="2:14" x14ac:dyDescent="0.45">
      <c r="B197" s="306">
        <f t="shared" si="32"/>
        <v>49949</v>
      </c>
      <c r="C197" s="303">
        <f t="shared" si="33"/>
        <v>-1.2187229003757238E-10</v>
      </c>
      <c r="D197" s="303">
        <f t="shared" si="24"/>
        <v>0</v>
      </c>
      <c r="E197" s="303">
        <f t="shared" si="25"/>
        <v>0</v>
      </c>
      <c r="F197" s="303">
        <f t="shared" si="26"/>
        <v>0</v>
      </c>
      <c r="G197" s="307">
        <f t="shared" si="27"/>
        <v>-1.2187229003757238E-10</v>
      </c>
      <c r="I197" s="306">
        <f t="shared" si="34"/>
        <v>50952</v>
      </c>
      <c r="J197" s="303">
        <f t="shared" si="35"/>
        <v>2.1282176021486521E-10</v>
      </c>
      <c r="K197" s="303">
        <f t="shared" si="28"/>
        <v>0</v>
      </c>
      <c r="L197" s="303">
        <f t="shared" si="29"/>
        <v>0</v>
      </c>
      <c r="M197" s="303">
        <f t="shared" si="30"/>
        <v>0</v>
      </c>
      <c r="N197" s="307">
        <f t="shared" si="31"/>
        <v>2.1282176021486521E-10</v>
      </c>
    </row>
    <row r="198" spans="2:14" x14ac:dyDescent="0.45">
      <c r="B198" s="306">
        <f t="shared" si="32"/>
        <v>49980</v>
      </c>
      <c r="C198" s="303">
        <f t="shared" si="33"/>
        <v>-1.2187229003757238E-10</v>
      </c>
      <c r="D198" s="303">
        <f t="shared" si="24"/>
        <v>0</v>
      </c>
      <c r="E198" s="303">
        <f t="shared" si="25"/>
        <v>0</v>
      </c>
      <c r="F198" s="303">
        <f t="shared" si="26"/>
        <v>0</v>
      </c>
      <c r="G198" s="307">
        <f t="shared" si="27"/>
        <v>-1.2187229003757238E-10</v>
      </c>
      <c r="I198" s="306">
        <f t="shared" si="34"/>
        <v>50983</v>
      </c>
      <c r="J198" s="303">
        <f t="shared" si="35"/>
        <v>2.1282176021486521E-10</v>
      </c>
      <c r="K198" s="303">
        <f t="shared" si="28"/>
        <v>0</v>
      </c>
      <c r="L198" s="303">
        <f t="shared" si="29"/>
        <v>0</v>
      </c>
      <c r="M198" s="303">
        <f t="shared" si="30"/>
        <v>0</v>
      </c>
      <c r="N198" s="307">
        <f t="shared" si="31"/>
        <v>2.1282176021486521E-10</v>
      </c>
    </row>
    <row r="199" spans="2:14" x14ac:dyDescent="0.45">
      <c r="B199" s="306">
        <f t="shared" si="32"/>
        <v>50010</v>
      </c>
      <c r="C199" s="303">
        <f t="shared" si="33"/>
        <v>-1.2187229003757238E-10</v>
      </c>
      <c r="D199" s="303">
        <f t="shared" si="24"/>
        <v>0</v>
      </c>
      <c r="E199" s="303">
        <f t="shared" si="25"/>
        <v>0</v>
      </c>
      <c r="F199" s="303">
        <f t="shared" si="26"/>
        <v>0</v>
      </c>
      <c r="G199" s="307">
        <f t="shared" si="27"/>
        <v>-1.2187229003757238E-10</v>
      </c>
      <c r="I199" s="306">
        <f t="shared" si="34"/>
        <v>51014</v>
      </c>
      <c r="J199" s="303">
        <f t="shared" si="35"/>
        <v>2.1282176021486521E-10</v>
      </c>
      <c r="K199" s="303">
        <f t="shared" si="28"/>
        <v>0</v>
      </c>
      <c r="L199" s="303">
        <f t="shared" si="29"/>
        <v>0</v>
      </c>
      <c r="M199" s="303">
        <f t="shared" si="30"/>
        <v>0</v>
      </c>
      <c r="N199" s="307">
        <f t="shared" si="31"/>
        <v>2.1282176021486521E-10</v>
      </c>
    </row>
    <row r="200" spans="2:14" x14ac:dyDescent="0.45">
      <c r="B200" s="306">
        <f t="shared" si="32"/>
        <v>50041</v>
      </c>
      <c r="C200" s="303">
        <f t="shared" si="33"/>
        <v>-1.2187229003757238E-10</v>
      </c>
      <c r="D200" s="303">
        <f t="shared" si="24"/>
        <v>0</v>
      </c>
      <c r="E200" s="303">
        <f t="shared" si="25"/>
        <v>0</v>
      </c>
      <c r="F200" s="303">
        <f t="shared" si="26"/>
        <v>0</v>
      </c>
      <c r="G200" s="307">
        <f t="shared" si="27"/>
        <v>-1.2187229003757238E-10</v>
      </c>
      <c r="I200" s="306">
        <f t="shared" si="34"/>
        <v>51044</v>
      </c>
      <c r="J200" s="303">
        <f t="shared" si="35"/>
        <v>2.1282176021486521E-10</v>
      </c>
      <c r="K200" s="303">
        <f t="shared" si="28"/>
        <v>0</v>
      </c>
      <c r="L200" s="303">
        <f t="shared" si="29"/>
        <v>0</v>
      </c>
      <c r="M200" s="303">
        <f t="shared" si="30"/>
        <v>0</v>
      </c>
      <c r="N200" s="307">
        <f t="shared" si="31"/>
        <v>2.1282176021486521E-10</v>
      </c>
    </row>
    <row r="201" spans="2:14" x14ac:dyDescent="0.45">
      <c r="B201" s="306">
        <f t="shared" si="32"/>
        <v>50072</v>
      </c>
      <c r="C201" s="303">
        <f t="shared" si="33"/>
        <v>-1.2187229003757238E-10</v>
      </c>
      <c r="D201" s="303">
        <f t="shared" si="24"/>
        <v>0</v>
      </c>
      <c r="E201" s="303">
        <f t="shared" si="25"/>
        <v>0</v>
      </c>
      <c r="F201" s="303">
        <f t="shared" si="26"/>
        <v>0</v>
      </c>
      <c r="G201" s="307">
        <f t="shared" si="27"/>
        <v>-1.2187229003757238E-10</v>
      </c>
      <c r="I201" s="306">
        <f t="shared" si="34"/>
        <v>51075</v>
      </c>
      <c r="J201" s="303">
        <f t="shared" si="35"/>
        <v>2.1282176021486521E-10</v>
      </c>
      <c r="K201" s="303">
        <f t="shared" si="28"/>
        <v>0</v>
      </c>
      <c r="L201" s="303">
        <f t="shared" si="29"/>
        <v>0</v>
      </c>
      <c r="M201" s="303">
        <f t="shared" si="30"/>
        <v>0</v>
      </c>
      <c r="N201" s="307">
        <f t="shared" si="31"/>
        <v>2.1282176021486521E-10</v>
      </c>
    </row>
    <row r="202" spans="2:14" x14ac:dyDescent="0.45">
      <c r="B202" s="306">
        <f t="shared" si="32"/>
        <v>50100</v>
      </c>
      <c r="C202" s="303">
        <f t="shared" si="33"/>
        <v>-1.2187229003757238E-10</v>
      </c>
      <c r="D202" s="303">
        <f t="shared" si="24"/>
        <v>0</v>
      </c>
      <c r="E202" s="303">
        <f t="shared" si="25"/>
        <v>0</v>
      </c>
      <c r="F202" s="303">
        <f t="shared" si="26"/>
        <v>0</v>
      </c>
      <c r="G202" s="307">
        <f t="shared" si="27"/>
        <v>-1.2187229003757238E-10</v>
      </c>
      <c r="I202" s="306">
        <f t="shared" si="34"/>
        <v>51105</v>
      </c>
      <c r="J202" s="303">
        <f t="shared" si="35"/>
        <v>2.1282176021486521E-10</v>
      </c>
      <c r="K202" s="303">
        <f t="shared" si="28"/>
        <v>0</v>
      </c>
      <c r="L202" s="303">
        <f t="shared" si="29"/>
        <v>0</v>
      </c>
      <c r="M202" s="303">
        <f t="shared" si="30"/>
        <v>0</v>
      </c>
      <c r="N202" s="307">
        <f t="shared" si="31"/>
        <v>2.1282176021486521E-10</v>
      </c>
    </row>
    <row r="203" spans="2:14" x14ac:dyDescent="0.45">
      <c r="B203" s="306">
        <f t="shared" si="32"/>
        <v>50131</v>
      </c>
      <c r="C203" s="303">
        <f t="shared" si="33"/>
        <v>-1.2187229003757238E-10</v>
      </c>
      <c r="D203" s="303">
        <f t="shared" si="24"/>
        <v>0</v>
      </c>
      <c r="E203" s="303">
        <f t="shared" si="25"/>
        <v>0</v>
      </c>
      <c r="F203" s="303">
        <f t="shared" si="26"/>
        <v>0</v>
      </c>
      <c r="G203" s="307">
        <f t="shared" si="27"/>
        <v>-1.2187229003757238E-10</v>
      </c>
      <c r="I203" s="306">
        <f t="shared" si="34"/>
        <v>51136</v>
      </c>
      <c r="J203" s="303">
        <f t="shared" si="35"/>
        <v>2.1282176021486521E-10</v>
      </c>
      <c r="K203" s="303">
        <f t="shared" si="28"/>
        <v>0</v>
      </c>
      <c r="L203" s="303">
        <f t="shared" si="29"/>
        <v>0</v>
      </c>
      <c r="M203" s="303">
        <f t="shared" si="30"/>
        <v>0</v>
      </c>
      <c r="N203" s="307">
        <f t="shared" si="31"/>
        <v>2.1282176021486521E-10</v>
      </c>
    </row>
    <row r="204" spans="2:14" x14ac:dyDescent="0.45">
      <c r="B204" s="306">
        <f t="shared" si="32"/>
        <v>50161</v>
      </c>
      <c r="C204" s="303">
        <f t="shared" si="33"/>
        <v>-1.2187229003757238E-10</v>
      </c>
      <c r="D204" s="303">
        <f t="shared" ref="D204:D267" si="36">IF(ROUNDDOWN(C204,0)=0,0,PMT($E$4/12,$E$7,-$E$8)+$E$5)</f>
        <v>0</v>
      </c>
      <c r="E204" s="303">
        <f t="shared" ref="E204:E267" si="37">IF(ROUNDDOWN(C204,0)=0,0,(C204*$E$4/12)+$E$5)</f>
        <v>0</v>
      </c>
      <c r="F204" s="303">
        <f t="shared" ref="F204:F267" si="38">D204-E204</f>
        <v>0</v>
      </c>
      <c r="G204" s="307">
        <f t="shared" ref="G204:G267" si="39">C204-F204</f>
        <v>-1.2187229003757238E-10</v>
      </c>
      <c r="I204" s="306">
        <f t="shared" si="34"/>
        <v>51167</v>
      </c>
      <c r="J204" s="303">
        <f t="shared" si="35"/>
        <v>2.1282176021486521E-10</v>
      </c>
      <c r="K204" s="303">
        <f t="shared" ref="K204:K267" si="40">IF(ROUNDDOWN(J204,0)=0,0,PMT($L$4/12,$L$7,-$L$8)+$L$5)</f>
        <v>0</v>
      </c>
      <c r="L204" s="303">
        <f t="shared" ref="L204:L267" si="41">IF(ROUNDDOWN(J204,0)=0,0,(J204*$L$4/12)+$L$5)</f>
        <v>0</v>
      </c>
      <c r="M204" s="303">
        <f t="shared" ref="M204:M267" si="42">K204-L204</f>
        <v>0</v>
      </c>
      <c r="N204" s="307">
        <f t="shared" ref="N204:N267" si="43">J204-M204</f>
        <v>2.1282176021486521E-10</v>
      </c>
    </row>
    <row r="205" spans="2:14" x14ac:dyDescent="0.45">
      <c r="B205" s="306">
        <f t="shared" ref="B205:B268" si="44">EDATE(B204,1)</f>
        <v>50192</v>
      </c>
      <c r="C205" s="303">
        <f t="shared" ref="C205:C268" si="45">G204</f>
        <v>-1.2187229003757238E-10</v>
      </c>
      <c r="D205" s="303">
        <f t="shared" si="36"/>
        <v>0</v>
      </c>
      <c r="E205" s="303">
        <f t="shared" si="37"/>
        <v>0</v>
      </c>
      <c r="F205" s="303">
        <f t="shared" si="38"/>
        <v>0</v>
      </c>
      <c r="G205" s="307">
        <f t="shared" si="39"/>
        <v>-1.2187229003757238E-10</v>
      </c>
      <c r="I205" s="306">
        <f t="shared" ref="I205:I268" si="46">EDATE(I204,1)</f>
        <v>51196</v>
      </c>
      <c r="J205" s="303">
        <f t="shared" ref="J205:J268" si="47">N204</f>
        <v>2.1282176021486521E-10</v>
      </c>
      <c r="K205" s="303">
        <f t="shared" si="40"/>
        <v>0</v>
      </c>
      <c r="L205" s="303">
        <f t="shared" si="41"/>
        <v>0</v>
      </c>
      <c r="M205" s="303">
        <f t="shared" si="42"/>
        <v>0</v>
      </c>
      <c r="N205" s="307">
        <f t="shared" si="43"/>
        <v>2.1282176021486521E-10</v>
      </c>
    </row>
    <row r="206" spans="2:14" x14ac:dyDescent="0.45">
      <c r="B206" s="306">
        <f t="shared" si="44"/>
        <v>50222</v>
      </c>
      <c r="C206" s="303">
        <f t="shared" si="45"/>
        <v>-1.2187229003757238E-10</v>
      </c>
      <c r="D206" s="303">
        <f t="shared" si="36"/>
        <v>0</v>
      </c>
      <c r="E206" s="303">
        <f t="shared" si="37"/>
        <v>0</v>
      </c>
      <c r="F206" s="303">
        <f t="shared" si="38"/>
        <v>0</v>
      </c>
      <c r="G206" s="307">
        <f t="shared" si="39"/>
        <v>-1.2187229003757238E-10</v>
      </c>
      <c r="I206" s="306">
        <f t="shared" si="46"/>
        <v>51227</v>
      </c>
      <c r="J206" s="303">
        <f t="shared" si="47"/>
        <v>2.1282176021486521E-10</v>
      </c>
      <c r="K206" s="303">
        <f t="shared" si="40"/>
        <v>0</v>
      </c>
      <c r="L206" s="303">
        <f t="shared" si="41"/>
        <v>0</v>
      </c>
      <c r="M206" s="303">
        <f t="shared" si="42"/>
        <v>0</v>
      </c>
      <c r="N206" s="307">
        <f t="shared" si="43"/>
        <v>2.1282176021486521E-10</v>
      </c>
    </row>
    <row r="207" spans="2:14" x14ac:dyDescent="0.45">
      <c r="B207" s="306">
        <f t="shared" si="44"/>
        <v>50253</v>
      </c>
      <c r="C207" s="303">
        <f t="shared" si="45"/>
        <v>-1.2187229003757238E-10</v>
      </c>
      <c r="D207" s="303">
        <f t="shared" si="36"/>
        <v>0</v>
      </c>
      <c r="E207" s="303">
        <f t="shared" si="37"/>
        <v>0</v>
      </c>
      <c r="F207" s="303">
        <f t="shared" si="38"/>
        <v>0</v>
      </c>
      <c r="G207" s="307">
        <f t="shared" si="39"/>
        <v>-1.2187229003757238E-10</v>
      </c>
      <c r="I207" s="306">
        <f t="shared" si="46"/>
        <v>51257</v>
      </c>
      <c r="J207" s="303">
        <f t="shared" si="47"/>
        <v>2.1282176021486521E-10</v>
      </c>
      <c r="K207" s="303">
        <f t="shared" si="40"/>
        <v>0</v>
      </c>
      <c r="L207" s="303">
        <f t="shared" si="41"/>
        <v>0</v>
      </c>
      <c r="M207" s="303">
        <f t="shared" si="42"/>
        <v>0</v>
      </c>
      <c r="N207" s="307">
        <f t="shared" si="43"/>
        <v>2.1282176021486521E-10</v>
      </c>
    </row>
    <row r="208" spans="2:14" x14ac:dyDescent="0.45">
      <c r="B208" s="306">
        <f t="shared" si="44"/>
        <v>50284</v>
      </c>
      <c r="C208" s="303">
        <f t="shared" si="45"/>
        <v>-1.2187229003757238E-10</v>
      </c>
      <c r="D208" s="303">
        <f t="shared" si="36"/>
        <v>0</v>
      </c>
      <c r="E208" s="303">
        <f t="shared" si="37"/>
        <v>0</v>
      </c>
      <c r="F208" s="303">
        <f t="shared" si="38"/>
        <v>0</v>
      </c>
      <c r="G208" s="307">
        <f t="shared" si="39"/>
        <v>-1.2187229003757238E-10</v>
      </c>
      <c r="I208" s="306">
        <f t="shared" si="46"/>
        <v>51288</v>
      </c>
      <c r="J208" s="303">
        <f t="shared" si="47"/>
        <v>2.1282176021486521E-10</v>
      </c>
      <c r="K208" s="303">
        <f t="shared" si="40"/>
        <v>0</v>
      </c>
      <c r="L208" s="303">
        <f t="shared" si="41"/>
        <v>0</v>
      </c>
      <c r="M208" s="303">
        <f t="shared" si="42"/>
        <v>0</v>
      </c>
      <c r="N208" s="307">
        <f t="shared" si="43"/>
        <v>2.1282176021486521E-10</v>
      </c>
    </row>
    <row r="209" spans="2:14" x14ac:dyDescent="0.45">
      <c r="B209" s="306">
        <f t="shared" si="44"/>
        <v>50314</v>
      </c>
      <c r="C209" s="303">
        <f t="shared" si="45"/>
        <v>-1.2187229003757238E-10</v>
      </c>
      <c r="D209" s="303">
        <f t="shared" si="36"/>
        <v>0</v>
      </c>
      <c r="E209" s="303">
        <f t="shared" si="37"/>
        <v>0</v>
      </c>
      <c r="F209" s="303">
        <f t="shared" si="38"/>
        <v>0</v>
      </c>
      <c r="G209" s="307">
        <f t="shared" si="39"/>
        <v>-1.2187229003757238E-10</v>
      </c>
      <c r="I209" s="306">
        <f t="shared" si="46"/>
        <v>51318</v>
      </c>
      <c r="J209" s="303">
        <f t="shared" si="47"/>
        <v>2.1282176021486521E-10</v>
      </c>
      <c r="K209" s="303">
        <f t="shared" si="40"/>
        <v>0</v>
      </c>
      <c r="L209" s="303">
        <f t="shared" si="41"/>
        <v>0</v>
      </c>
      <c r="M209" s="303">
        <f t="shared" si="42"/>
        <v>0</v>
      </c>
      <c r="N209" s="307">
        <f t="shared" si="43"/>
        <v>2.1282176021486521E-10</v>
      </c>
    </row>
    <row r="210" spans="2:14" x14ac:dyDescent="0.45">
      <c r="B210" s="306">
        <f t="shared" si="44"/>
        <v>50345</v>
      </c>
      <c r="C210" s="303">
        <f t="shared" si="45"/>
        <v>-1.2187229003757238E-10</v>
      </c>
      <c r="D210" s="303">
        <f t="shared" si="36"/>
        <v>0</v>
      </c>
      <c r="E210" s="303">
        <f t="shared" si="37"/>
        <v>0</v>
      </c>
      <c r="F210" s="303">
        <f t="shared" si="38"/>
        <v>0</v>
      </c>
      <c r="G210" s="307">
        <f t="shared" si="39"/>
        <v>-1.2187229003757238E-10</v>
      </c>
      <c r="I210" s="306">
        <f t="shared" si="46"/>
        <v>51349</v>
      </c>
      <c r="J210" s="303">
        <f t="shared" si="47"/>
        <v>2.1282176021486521E-10</v>
      </c>
      <c r="K210" s="303">
        <f t="shared" si="40"/>
        <v>0</v>
      </c>
      <c r="L210" s="303">
        <f t="shared" si="41"/>
        <v>0</v>
      </c>
      <c r="M210" s="303">
        <f t="shared" si="42"/>
        <v>0</v>
      </c>
      <c r="N210" s="307">
        <f t="shared" si="43"/>
        <v>2.1282176021486521E-10</v>
      </c>
    </row>
    <row r="211" spans="2:14" x14ac:dyDescent="0.45">
      <c r="B211" s="306">
        <f t="shared" si="44"/>
        <v>50375</v>
      </c>
      <c r="C211" s="303">
        <f t="shared" si="45"/>
        <v>-1.2187229003757238E-10</v>
      </c>
      <c r="D211" s="303">
        <f t="shared" si="36"/>
        <v>0</v>
      </c>
      <c r="E211" s="303">
        <f t="shared" si="37"/>
        <v>0</v>
      </c>
      <c r="F211" s="303">
        <f t="shared" si="38"/>
        <v>0</v>
      </c>
      <c r="G211" s="307">
        <f t="shared" si="39"/>
        <v>-1.2187229003757238E-10</v>
      </c>
      <c r="I211" s="306">
        <f t="shared" si="46"/>
        <v>51380</v>
      </c>
      <c r="J211" s="303">
        <f t="shared" si="47"/>
        <v>2.1282176021486521E-10</v>
      </c>
      <c r="K211" s="303">
        <f t="shared" si="40"/>
        <v>0</v>
      </c>
      <c r="L211" s="303">
        <f t="shared" si="41"/>
        <v>0</v>
      </c>
      <c r="M211" s="303">
        <f t="shared" si="42"/>
        <v>0</v>
      </c>
      <c r="N211" s="307">
        <f t="shared" si="43"/>
        <v>2.1282176021486521E-10</v>
      </c>
    </row>
    <row r="212" spans="2:14" x14ac:dyDescent="0.45">
      <c r="B212" s="306">
        <f t="shared" si="44"/>
        <v>50406</v>
      </c>
      <c r="C212" s="303">
        <f t="shared" si="45"/>
        <v>-1.2187229003757238E-10</v>
      </c>
      <c r="D212" s="303">
        <f t="shared" si="36"/>
        <v>0</v>
      </c>
      <c r="E212" s="303">
        <f t="shared" si="37"/>
        <v>0</v>
      </c>
      <c r="F212" s="303">
        <f t="shared" si="38"/>
        <v>0</v>
      </c>
      <c r="G212" s="307">
        <f t="shared" si="39"/>
        <v>-1.2187229003757238E-10</v>
      </c>
      <c r="I212" s="306">
        <f t="shared" si="46"/>
        <v>51410</v>
      </c>
      <c r="J212" s="303">
        <f t="shared" si="47"/>
        <v>2.1282176021486521E-10</v>
      </c>
      <c r="K212" s="303">
        <f t="shared" si="40"/>
        <v>0</v>
      </c>
      <c r="L212" s="303">
        <f t="shared" si="41"/>
        <v>0</v>
      </c>
      <c r="M212" s="303">
        <f t="shared" si="42"/>
        <v>0</v>
      </c>
      <c r="N212" s="307">
        <f t="shared" si="43"/>
        <v>2.1282176021486521E-10</v>
      </c>
    </row>
    <row r="213" spans="2:14" x14ac:dyDescent="0.45">
      <c r="B213" s="306">
        <f t="shared" si="44"/>
        <v>50437</v>
      </c>
      <c r="C213" s="303">
        <f t="shared" si="45"/>
        <v>-1.2187229003757238E-10</v>
      </c>
      <c r="D213" s="303">
        <f t="shared" si="36"/>
        <v>0</v>
      </c>
      <c r="E213" s="303">
        <f t="shared" si="37"/>
        <v>0</v>
      </c>
      <c r="F213" s="303">
        <f t="shared" si="38"/>
        <v>0</v>
      </c>
      <c r="G213" s="307">
        <f t="shared" si="39"/>
        <v>-1.2187229003757238E-10</v>
      </c>
      <c r="I213" s="306">
        <f t="shared" si="46"/>
        <v>51441</v>
      </c>
      <c r="J213" s="303">
        <f t="shared" si="47"/>
        <v>2.1282176021486521E-10</v>
      </c>
      <c r="K213" s="303">
        <f t="shared" si="40"/>
        <v>0</v>
      </c>
      <c r="L213" s="303">
        <f t="shared" si="41"/>
        <v>0</v>
      </c>
      <c r="M213" s="303">
        <f t="shared" si="42"/>
        <v>0</v>
      </c>
      <c r="N213" s="307">
        <f t="shared" si="43"/>
        <v>2.1282176021486521E-10</v>
      </c>
    </row>
    <row r="214" spans="2:14" x14ac:dyDescent="0.45">
      <c r="B214" s="306">
        <f t="shared" si="44"/>
        <v>50465</v>
      </c>
      <c r="C214" s="303">
        <f t="shared" si="45"/>
        <v>-1.2187229003757238E-10</v>
      </c>
      <c r="D214" s="303">
        <f t="shared" si="36"/>
        <v>0</v>
      </c>
      <c r="E214" s="303">
        <f t="shared" si="37"/>
        <v>0</v>
      </c>
      <c r="F214" s="303">
        <f t="shared" si="38"/>
        <v>0</v>
      </c>
      <c r="G214" s="307">
        <f t="shared" si="39"/>
        <v>-1.2187229003757238E-10</v>
      </c>
      <c r="I214" s="306">
        <f t="shared" si="46"/>
        <v>51471</v>
      </c>
      <c r="J214" s="303">
        <f t="shared" si="47"/>
        <v>2.1282176021486521E-10</v>
      </c>
      <c r="K214" s="303">
        <f t="shared" si="40"/>
        <v>0</v>
      </c>
      <c r="L214" s="303">
        <f t="shared" si="41"/>
        <v>0</v>
      </c>
      <c r="M214" s="303">
        <f t="shared" si="42"/>
        <v>0</v>
      </c>
      <c r="N214" s="307">
        <f t="shared" si="43"/>
        <v>2.1282176021486521E-10</v>
      </c>
    </row>
    <row r="215" spans="2:14" x14ac:dyDescent="0.45">
      <c r="B215" s="306">
        <f t="shared" si="44"/>
        <v>50496</v>
      </c>
      <c r="C215" s="303">
        <f t="shared" si="45"/>
        <v>-1.2187229003757238E-10</v>
      </c>
      <c r="D215" s="303">
        <f t="shared" si="36"/>
        <v>0</v>
      </c>
      <c r="E215" s="303">
        <f t="shared" si="37"/>
        <v>0</v>
      </c>
      <c r="F215" s="303">
        <f t="shared" si="38"/>
        <v>0</v>
      </c>
      <c r="G215" s="307">
        <f t="shared" si="39"/>
        <v>-1.2187229003757238E-10</v>
      </c>
      <c r="I215" s="306">
        <f t="shared" si="46"/>
        <v>51502</v>
      </c>
      <c r="J215" s="303">
        <f t="shared" si="47"/>
        <v>2.1282176021486521E-10</v>
      </c>
      <c r="K215" s="303">
        <f t="shared" si="40"/>
        <v>0</v>
      </c>
      <c r="L215" s="303">
        <f t="shared" si="41"/>
        <v>0</v>
      </c>
      <c r="M215" s="303">
        <f t="shared" si="42"/>
        <v>0</v>
      </c>
      <c r="N215" s="307">
        <f t="shared" si="43"/>
        <v>2.1282176021486521E-10</v>
      </c>
    </row>
    <row r="216" spans="2:14" x14ac:dyDescent="0.45">
      <c r="B216" s="306">
        <f t="shared" si="44"/>
        <v>50526</v>
      </c>
      <c r="C216" s="303">
        <f t="shared" si="45"/>
        <v>-1.2187229003757238E-10</v>
      </c>
      <c r="D216" s="303">
        <f t="shared" si="36"/>
        <v>0</v>
      </c>
      <c r="E216" s="303">
        <f t="shared" si="37"/>
        <v>0</v>
      </c>
      <c r="F216" s="303">
        <f t="shared" si="38"/>
        <v>0</v>
      </c>
      <c r="G216" s="307">
        <f t="shared" si="39"/>
        <v>-1.2187229003757238E-10</v>
      </c>
      <c r="I216" s="306">
        <f t="shared" si="46"/>
        <v>51533</v>
      </c>
      <c r="J216" s="303">
        <f t="shared" si="47"/>
        <v>2.1282176021486521E-10</v>
      </c>
      <c r="K216" s="303">
        <f t="shared" si="40"/>
        <v>0</v>
      </c>
      <c r="L216" s="303">
        <f t="shared" si="41"/>
        <v>0</v>
      </c>
      <c r="M216" s="303">
        <f t="shared" si="42"/>
        <v>0</v>
      </c>
      <c r="N216" s="307">
        <f t="shared" si="43"/>
        <v>2.1282176021486521E-10</v>
      </c>
    </row>
    <row r="217" spans="2:14" x14ac:dyDescent="0.45">
      <c r="B217" s="306">
        <f t="shared" si="44"/>
        <v>50557</v>
      </c>
      <c r="C217" s="303">
        <f t="shared" si="45"/>
        <v>-1.2187229003757238E-10</v>
      </c>
      <c r="D217" s="303">
        <f t="shared" si="36"/>
        <v>0</v>
      </c>
      <c r="E217" s="303">
        <f t="shared" si="37"/>
        <v>0</v>
      </c>
      <c r="F217" s="303">
        <f t="shared" si="38"/>
        <v>0</v>
      </c>
      <c r="G217" s="307">
        <f t="shared" si="39"/>
        <v>-1.2187229003757238E-10</v>
      </c>
      <c r="I217" s="306">
        <f t="shared" si="46"/>
        <v>51561</v>
      </c>
      <c r="J217" s="303">
        <f t="shared" si="47"/>
        <v>2.1282176021486521E-10</v>
      </c>
      <c r="K217" s="303">
        <f t="shared" si="40"/>
        <v>0</v>
      </c>
      <c r="L217" s="303">
        <f t="shared" si="41"/>
        <v>0</v>
      </c>
      <c r="M217" s="303">
        <f t="shared" si="42"/>
        <v>0</v>
      </c>
      <c r="N217" s="307">
        <f t="shared" si="43"/>
        <v>2.1282176021486521E-10</v>
      </c>
    </row>
    <row r="218" spans="2:14" x14ac:dyDescent="0.45">
      <c r="B218" s="306">
        <f t="shared" si="44"/>
        <v>50587</v>
      </c>
      <c r="C218" s="303">
        <f t="shared" si="45"/>
        <v>-1.2187229003757238E-10</v>
      </c>
      <c r="D218" s="303">
        <f t="shared" si="36"/>
        <v>0</v>
      </c>
      <c r="E218" s="303">
        <f t="shared" si="37"/>
        <v>0</v>
      </c>
      <c r="F218" s="303">
        <f t="shared" si="38"/>
        <v>0</v>
      </c>
      <c r="G218" s="307">
        <f t="shared" si="39"/>
        <v>-1.2187229003757238E-10</v>
      </c>
      <c r="I218" s="306">
        <f t="shared" si="46"/>
        <v>51592</v>
      </c>
      <c r="J218" s="303">
        <f t="shared" si="47"/>
        <v>2.1282176021486521E-10</v>
      </c>
      <c r="K218" s="303">
        <f t="shared" si="40"/>
        <v>0</v>
      </c>
      <c r="L218" s="303">
        <f t="shared" si="41"/>
        <v>0</v>
      </c>
      <c r="M218" s="303">
        <f t="shared" si="42"/>
        <v>0</v>
      </c>
      <c r="N218" s="307">
        <f t="shared" si="43"/>
        <v>2.1282176021486521E-10</v>
      </c>
    </row>
    <row r="219" spans="2:14" x14ac:dyDescent="0.45">
      <c r="B219" s="306">
        <f t="shared" si="44"/>
        <v>50618</v>
      </c>
      <c r="C219" s="303">
        <f t="shared" si="45"/>
        <v>-1.2187229003757238E-10</v>
      </c>
      <c r="D219" s="303">
        <f t="shared" si="36"/>
        <v>0</v>
      </c>
      <c r="E219" s="303">
        <f t="shared" si="37"/>
        <v>0</v>
      </c>
      <c r="F219" s="303">
        <f t="shared" si="38"/>
        <v>0</v>
      </c>
      <c r="G219" s="307">
        <f t="shared" si="39"/>
        <v>-1.2187229003757238E-10</v>
      </c>
      <c r="I219" s="306">
        <f t="shared" si="46"/>
        <v>51622</v>
      </c>
      <c r="J219" s="303">
        <f t="shared" si="47"/>
        <v>2.1282176021486521E-10</v>
      </c>
      <c r="K219" s="303">
        <f t="shared" si="40"/>
        <v>0</v>
      </c>
      <c r="L219" s="303">
        <f t="shared" si="41"/>
        <v>0</v>
      </c>
      <c r="M219" s="303">
        <f t="shared" si="42"/>
        <v>0</v>
      </c>
      <c r="N219" s="307">
        <f t="shared" si="43"/>
        <v>2.1282176021486521E-10</v>
      </c>
    </row>
    <row r="220" spans="2:14" x14ac:dyDescent="0.45">
      <c r="B220" s="306">
        <f t="shared" si="44"/>
        <v>50649</v>
      </c>
      <c r="C220" s="303">
        <f t="shared" si="45"/>
        <v>-1.2187229003757238E-10</v>
      </c>
      <c r="D220" s="303">
        <f t="shared" si="36"/>
        <v>0</v>
      </c>
      <c r="E220" s="303">
        <f t="shared" si="37"/>
        <v>0</v>
      </c>
      <c r="F220" s="303">
        <f t="shared" si="38"/>
        <v>0</v>
      </c>
      <c r="G220" s="307">
        <f t="shared" si="39"/>
        <v>-1.2187229003757238E-10</v>
      </c>
      <c r="I220" s="306">
        <f t="shared" si="46"/>
        <v>51653</v>
      </c>
      <c r="J220" s="303">
        <f t="shared" si="47"/>
        <v>2.1282176021486521E-10</v>
      </c>
      <c r="K220" s="303">
        <f t="shared" si="40"/>
        <v>0</v>
      </c>
      <c r="L220" s="303">
        <f t="shared" si="41"/>
        <v>0</v>
      </c>
      <c r="M220" s="303">
        <f t="shared" si="42"/>
        <v>0</v>
      </c>
      <c r="N220" s="307">
        <f t="shared" si="43"/>
        <v>2.1282176021486521E-10</v>
      </c>
    </row>
    <row r="221" spans="2:14" x14ac:dyDescent="0.45">
      <c r="B221" s="306">
        <f t="shared" si="44"/>
        <v>50679</v>
      </c>
      <c r="C221" s="303">
        <f t="shared" si="45"/>
        <v>-1.2187229003757238E-10</v>
      </c>
      <c r="D221" s="303">
        <f t="shared" si="36"/>
        <v>0</v>
      </c>
      <c r="E221" s="303">
        <f t="shared" si="37"/>
        <v>0</v>
      </c>
      <c r="F221" s="303">
        <f t="shared" si="38"/>
        <v>0</v>
      </c>
      <c r="G221" s="307">
        <f t="shared" si="39"/>
        <v>-1.2187229003757238E-10</v>
      </c>
      <c r="I221" s="306">
        <f t="shared" si="46"/>
        <v>51683</v>
      </c>
      <c r="J221" s="303">
        <f t="shared" si="47"/>
        <v>2.1282176021486521E-10</v>
      </c>
      <c r="K221" s="303">
        <f t="shared" si="40"/>
        <v>0</v>
      </c>
      <c r="L221" s="303">
        <f t="shared" si="41"/>
        <v>0</v>
      </c>
      <c r="M221" s="303">
        <f t="shared" si="42"/>
        <v>0</v>
      </c>
      <c r="N221" s="307">
        <f t="shared" si="43"/>
        <v>2.1282176021486521E-10</v>
      </c>
    </row>
    <row r="222" spans="2:14" x14ac:dyDescent="0.45">
      <c r="B222" s="306">
        <f t="shared" si="44"/>
        <v>50710</v>
      </c>
      <c r="C222" s="303">
        <f t="shared" si="45"/>
        <v>-1.2187229003757238E-10</v>
      </c>
      <c r="D222" s="303">
        <f t="shared" si="36"/>
        <v>0</v>
      </c>
      <c r="E222" s="303">
        <f t="shared" si="37"/>
        <v>0</v>
      </c>
      <c r="F222" s="303">
        <f t="shared" si="38"/>
        <v>0</v>
      </c>
      <c r="G222" s="307">
        <f t="shared" si="39"/>
        <v>-1.2187229003757238E-10</v>
      </c>
      <c r="I222" s="306">
        <f t="shared" si="46"/>
        <v>51714</v>
      </c>
      <c r="J222" s="303">
        <f t="shared" si="47"/>
        <v>2.1282176021486521E-10</v>
      </c>
      <c r="K222" s="303">
        <f t="shared" si="40"/>
        <v>0</v>
      </c>
      <c r="L222" s="303">
        <f t="shared" si="41"/>
        <v>0</v>
      </c>
      <c r="M222" s="303">
        <f t="shared" si="42"/>
        <v>0</v>
      </c>
      <c r="N222" s="307">
        <f t="shared" si="43"/>
        <v>2.1282176021486521E-10</v>
      </c>
    </row>
    <row r="223" spans="2:14" x14ac:dyDescent="0.45">
      <c r="B223" s="306">
        <f t="shared" si="44"/>
        <v>50740</v>
      </c>
      <c r="C223" s="303">
        <f t="shared" si="45"/>
        <v>-1.2187229003757238E-10</v>
      </c>
      <c r="D223" s="303">
        <f t="shared" si="36"/>
        <v>0</v>
      </c>
      <c r="E223" s="303">
        <f t="shared" si="37"/>
        <v>0</v>
      </c>
      <c r="F223" s="303">
        <f t="shared" si="38"/>
        <v>0</v>
      </c>
      <c r="G223" s="307">
        <f t="shared" si="39"/>
        <v>-1.2187229003757238E-10</v>
      </c>
      <c r="I223" s="306">
        <f t="shared" si="46"/>
        <v>51745</v>
      </c>
      <c r="J223" s="303">
        <f t="shared" si="47"/>
        <v>2.1282176021486521E-10</v>
      </c>
      <c r="K223" s="303">
        <f t="shared" si="40"/>
        <v>0</v>
      </c>
      <c r="L223" s="303">
        <f t="shared" si="41"/>
        <v>0</v>
      </c>
      <c r="M223" s="303">
        <f t="shared" si="42"/>
        <v>0</v>
      </c>
      <c r="N223" s="307">
        <f t="shared" si="43"/>
        <v>2.1282176021486521E-10</v>
      </c>
    </row>
    <row r="224" spans="2:14" x14ac:dyDescent="0.45">
      <c r="B224" s="306">
        <f t="shared" si="44"/>
        <v>50771</v>
      </c>
      <c r="C224" s="303">
        <f t="shared" si="45"/>
        <v>-1.2187229003757238E-10</v>
      </c>
      <c r="D224" s="303">
        <f t="shared" si="36"/>
        <v>0</v>
      </c>
      <c r="E224" s="303">
        <f t="shared" si="37"/>
        <v>0</v>
      </c>
      <c r="F224" s="303">
        <f t="shared" si="38"/>
        <v>0</v>
      </c>
      <c r="G224" s="307">
        <f t="shared" si="39"/>
        <v>-1.2187229003757238E-10</v>
      </c>
      <c r="I224" s="306">
        <f t="shared" si="46"/>
        <v>51775</v>
      </c>
      <c r="J224" s="303">
        <f t="shared" si="47"/>
        <v>2.1282176021486521E-10</v>
      </c>
      <c r="K224" s="303">
        <f t="shared" si="40"/>
        <v>0</v>
      </c>
      <c r="L224" s="303">
        <f t="shared" si="41"/>
        <v>0</v>
      </c>
      <c r="M224" s="303">
        <f t="shared" si="42"/>
        <v>0</v>
      </c>
      <c r="N224" s="307">
        <f t="shared" si="43"/>
        <v>2.1282176021486521E-10</v>
      </c>
    </row>
    <row r="225" spans="2:14" x14ac:dyDescent="0.45">
      <c r="B225" s="306">
        <f t="shared" si="44"/>
        <v>50802</v>
      </c>
      <c r="C225" s="303">
        <f t="shared" si="45"/>
        <v>-1.2187229003757238E-10</v>
      </c>
      <c r="D225" s="303">
        <f t="shared" si="36"/>
        <v>0</v>
      </c>
      <c r="E225" s="303">
        <f t="shared" si="37"/>
        <v>0</v>
      </c>
      <c r="F225" s="303">
        <f t="shared" si="38"/>
        <v>0</v>
      </c>
      <c r="G225" s="307">
        <f t="shared" si="39"/>
        <v>-1.2187229003757238E-10</v>
      </c>
      <c r="I225" s="306">
        <f t="shared" si="46"/>
        <v>51806</v>
      </c>
      <c r="J225" s="303">
        <f t="shared" si="47"/>
        <v>2.1282176021486521E-10</v>
      </c>
      <c r="K225" s="303">
        <f t="shared" si="40"/>
        <v>0</v>
      </c>
      <c r="L225" s="303">
        <f t="shared" si="41"/>
        <v>0</v>
      </c>
      <c r="M225" s="303">
        <f t="shared" si="42"/>
        <v>0</v>
      </c>
      <c r="N225" s="307">
        <f t="shared" si="43"/>
        <v>2.1282176021486521E-10</v>
      </c>
    </row>
    <row r="226" spans="2:14" x14ac:dyDescent="0.45">
      <c r="B226" s="306">
        <f t="shared" si="44"/>
        <v>50830</v>
      </c>
      <c r="C226" s="303">
        <f t="shared" si="45"/>
        <v>-1.2187229003757238E-10</v>
      </c>
      <c r="D226" s="303">
        <f t="shared" si="36"/>
        <v>0</v>
      </c>
      <c r="E226" s="303">
        <f t="shared" si="37"/>
        <v>0</v>
      </c>
      <c r="F226" s="303">
        <f t="shared" si="38"/>
        <v>0</v>
      </c>
      <c r="G226" s="307">
        <f t="shared" si="39"/>
        <v>-1.2187229003757238E-10</v>
      </c>
      <c r="I226" s="306">
        <f t="shared" si="46"/>
        <v>51836</v>
      </c>
      <c r="J226" s="303">
        <f t="shared" si="47"/>
        <v>2.1282176021486521E-10</v>
      </c>
      <c r="K226" s="303">
        <f t="shared" si="40"/>
        <v>0</v>
      </c>
      <c r="L226" s="303">
        <f t="shared" si="41"/>
        <v>0</v>
      </c>
      <c r="M226" s="303">
        <f t="shared" si="42"/>
        <v>0</v>
      </c>
      <c r="N226" s="307">
        <f t="shared" si="43"/>
        <v>2.1282176021486521E-10</v>
      </c>
    </row>
    <row r="227" spans="2:14" x14ac:dyDescent="0.45">
      <c r="B227" s="306">
        <f t="shared" si="44"/>
        <v>50861</v>
      </c>
      <c r="C227" s="303">
        <f t="shared" si="45"/>
        <v>-1.2187229003757238E-10</v>
      </c>
      <c r="D227" s="303">
        <f t="shared" si="36"/>
        <v>0</v>
      </c>
      <c r="E227" s="303">
        <f t="shared" si="37"/>
        <v>0</v>
      </c>
      <c r="F227" s="303">
        <f t="shared" si="38"/>
        <v>0</v>
      </c>
      <c r="G227" s="307">
        <f t="shared" si="39"/>
        <v>-1.2187229003757238E-10</v>
      </c>
      <c r="I227" s="306">
        <f t="shared" si="46"/>
        <v>51867</v>
      </c>
      <c r="J227" s="303">
        <f t="shared" si="47"/>
        <v>2.1282176021486521E-10</v>
      </c>
      <c r="K227" s="303">
        <f t="shared" si="40"/>
        <v>0</v>
      </c>
      <c r="L227" s="303">
        <f t="shared" si="41"/>
        <v>0</v>
      </c>
      <c r="M227" s="303">
        <f t="shared" si="42"/>
        <v>0</v>
      </c>
      <c r="N227" s="307">
        <f t="shared" si="43"/>
        <v>2.1282176021486521E-10</v>
      </c>
    </row>
    <row r="228" spans="2:14" x14ac:dyDescent="0.45">
      <c r="B228" s="306">
        <f t="shared" si="44"/>
        <v>50891</v>
      </c>
      <c r="C228" s="303">
        <f t="shared" si="45"/>
        <v>-1.2187229003757238E-10</v>
      </c>
      <c r="D228" s="303">
        <f t="shared" si="36"/>
        <v>0</v>
      </c>
      <c r="E228" s="303">
        <f t="shared" si="37"/>
        <v>0</v>
      </c>
      <c r="F228" s="303">
        <f t="shared" si="38"/>
        <v>0</v>
      </c>
      <c r="G228" s="307">
        <f t="shared" si="39"/>
        <v>-1.2187229003757238E-10</v>
      </c>
      <c r="I228" s="306">
        <f t="shared" si="46"/>
        <v>51898</v>
      </c>
      <c r="J228" s="303">
        <f t="shared" si="47"/>
        <v>2.1282176021486521E-10</v>
      </c>
      <c r="K228" s="303">
        <f t="shared" si="40"/>
        <v>0</v>
      </c>
      <c r="L228" s="303">
        <f t="shared" si="41"/>
        <v>0</v>
      </c>
      <c r="M228" s="303">
        <f t="shared" si="42"/>
        <v>0</v>
      </c>
      <c r="N228" s="307">
        <f t="shared" si="43"/>
        <v>2.1282176021486521E-10</v>
      </c>
    </row>
    <row r="229" spans="2:14" x14ac:dyDescent="0.45">
      <c r="B229" s="306">
        <f t="shared" si="44"/>
        <v>50922</v>
      </c>
      <c r="C229" s="303">
        <f t="shared" si="45"/>
        <v>-1.2187229003757238E-10</v>
      </c>
      <c r="D229" s="303">
        <f t="shared" si="36"/>
        <v>0</v>
      </c>
      <c r="E229" s="303">
        <f t="shared" si="37"/>
        <v>0</v>
      </c>
      <c r="F229" s="303">
        <f t="shared" si="38"/>
        <v>0</v>
      </c>
      <c r="G229" s="307">
        <f t="shared" si="39"/>
        <v>-1.2187229003757238E-10</v>
      </c>
      <c r="I229" s="306">
        <f t="shared" si="46"/>
        <v>51926</v>
      </c>
      <c r="J229" s="303">
        <f t="shared" si="47"/>
        <v>2.1282176021486521E-10</v>
      </c>
      <c r="K229" s="303">
        <f t="shared" si="40"/>
        <v>0</v>
      </c>
      <c r="L229" s="303">
        <f t="shared" si="41"/>
        <v>0</v>
      </c>
      <c r="M229" s="303">
        <f t="shared" si="42"/>
        <v>0</v>
      </c>
      <c r="N229" s="307">
        <f t="shared" si="43"/>
        <v>2.1282176021486521E-10</v>
      </c>
    </row>
    <row r="230" spans="2:14" x14ac:dyDescent="0.45">
      <c r="B230" s="306">
        <f t="shared" si="44"/>
        <v>50952</v>
      </c>
      <c r="C230" s="303">
        <f t="shared" si="45"/>
        <v>-1.2187229003757238E-10</v>
      </c>
      <c r="D230" s="303">
        <f t="shared" si="36"/>
        <v>0</v>
      </c>
      <c r="E230" s="303">
        <f t="shared" si="37"/>
        <v>0</v>
      </c>
      <c r="F230" s="303">
        <f t="shared" si="38"/>
        <v>0</v>
      </c>
      <c r="G230" s="307">
        <f t="shared" si="39"/>
        <v>-1.2187229003757238E-10</v>
      </c>
      <c r="I230" s="306">
        <f t="shared" si="46"/>
        <v>51957</v>
      </c>
      <c r="J230" s="303">
        <f t="shared" si="47"/>
        <v>2.1282176021486521E-10</v>
      </c>
      <c r="K230" s="303">
        <f t="shared" si="40"/>
        <v>0</v>
      </c>
      <c r="L230" s="303">
        <f t="shared" si="41"/>
        <v>0</v>
      </c>
      <c r="M230" s="303">
        <f t="shared" si="42"/>
        <v>0</v>
      </c>
      <c r="N230" s="307">
        <f t="shared" si="43"/>
        <v>2.1282176021486521E-10</v>
      </c>
    </row>
    <row r="231" spans="2:14" x14ac:dyDescent="0.45">
      <c r="B231" s="306">
        <f t="shared" si="44"/>
        <v>50983</v>
      </c>
      <c r="C231" s="303">
        <f t="shared" si="45"/>
        <v>-1.2187229003757238E-10</v>
      </c>
      <c r="D231" s="303">
        <f t="shared" si="36"/>
        <v>0</v>
      </c>
      <c r="E231" s="303">
        <f t="shared" si="37"/>
        <v>0</v>
      </c>
      <c r="F231" s="303">
        <f t="shared" si="38"/>
        <v>0</v>
      </c>
      <c r="G231" s="307">
        <f t="shared" si="39"/>
        <v>-1.2187229003757238E-10</v>
      </c>
      <c r="I231" s="306">
        <f t="shared" si="46"/>
        <v>51987</v>
      </c>
      <c r="J231" s="303">
        <f t="shared" si="47"/>
        <v>2.1282176021486521E-10</v>
      </c>
      <c r="K231" s="303">
        <f t="shared" si="40"/>
        <v>0</v>
      </c>
      <c r="L231" s="303">
        <f t="shared" si="41"/>
        <v>0</v>
      </c>
      <c r="M231" s="303">
        <f t="shared" si="42"/>
        <v>0</v>
      </c>
      <c r="N231" s="307">
        <f t="shared" si="43"/>
        <v>2.1282176021486521E-10</v>
      </c>
    </row>
    <row r="232" spans="2:14" x14ac:dyDescent="0.45">
      <c r="B232" s="306">
        <f t="shared" si="44"/>
        <v>51014</v>
      </c>
      <c r="C232" s="303">
        <f t="shared" si="45"/>
        <v>-1.2187229003757238E-10</v>
      </c>
      <c r="D232" s="303">
        <f t="shared" si="36"/>
        <v>0</v>
      </c>
      <c r="E232" s="303">
        <f t="shared" si="37"/>
        <v>0</v>
      </c>
      <c r="F232" s="303">
        <f t="shared" si="38"/>
        <v>0</v>
      </c>
      <c r="G232" s="307">
        <f t="shared" si="39"/>
        <v>-1.2187229003757238E-10</v>
      </c>
      <c r="I232" s="306">
        <f t="shared" si="46"/>
        <v>52018</v>
      </c>
      <c r="J232" s="303">
        <f t="shared" si="47"/>
        <v>2.1282176021486521E-10</v>
      </c>
      <c r="K232" s="303">
        <f t="shared" si="40"/>
        <v>0</v>
      </c>
      <c r="L232" s="303">
        <f t="shared" si="41"/>
        <v>0</v>
      </c>
      <c r="M232" s="303">
        <f t="shared" si="42"/>
        <v>0</v>
      </c>
      <c r="N232" s="307">
        <f t="shared" si="43"/>
        <v>2.1282176021486521E-10</v>
      </c>
    </row>
    <row r="233" spans="2:14" x14ac:dyDescent="0.45">
      <c r="B233" s="306">
        <f t="shared" si="44"/>
        <v>51044</v>
      </c>
      <c r="C233" s="303">
        <f t="shared" si="45"/>
        <v>-1.2187229003757238E-10</v>
      </c>
      <c r="D233" s="303">
        <f t="shared" si="36"/>
        <v>0</v>
      </c>
      <c r="E233" s="303">
        <f t="shared" si="37"/>
        <v>0</v>
      </c>
      <c r="F233" s="303">
        <f t="shared" si="38"/>
        <v>0</v>
      </c>
      <c r="G233" s="307">
        <f t="shared" si="39"/>
        <v>-1.2187229003757238E-10</v>
      </c>
      <c r="I233" s="306">
        <f t="shared" si="46"/>
        <v>52048</v>
      </c>
      <c r="J233" s="303">
        <f t="shared" si="47"/>
        <v>2.1282176021486521E-10</v>
      </c>
      <c r="K233" s="303">
        <f t="shared" si="40"/>
        <v>0</v>
      </c>
      <c r="L233" s="303">
        <f t="shared" si="41"/>
        <v>0</v>
      </c>
      <c r="M233" s="303">
        <f t="shared" si="42"/>
        <v>0</v>
      </c>
      <c r="N233" s="307">
        <f t="shared" si="43"/>
        <v>2.1282176021486521E-10</v>
      </c>
    </row>
    <row r="234" spans="2:14" x14ac:dyDescent="0.45">
      <c r="B234" s="306">
        <f t="shared" si="44"/>
        <v>51075</v>
      </c>
      <c r="C234" s="303">
        <f t="shared" si="45"/>
        <v>-1.2187229003757238E-10</v>
      </c>
      <c r="D234" s="303">
        <f t="shared" si="36"/>
        <v>0</v>
      </c>
      <c r="E234" s="303">
        <f t="shared" si="37"/>
        <v>0</v>
      </c>
      <c r="F234" s="303">
        <f t="shared" si="38"/>
        <v>0</v>
      </c>
      <c r="G234" s="307">
        <f t="shared" si="39"/>
        <v>-1.2187229003757238E-10</v>
      </c>
      <c r="I234" s="306">
        <f t="shared" si="46"/>
        <v>52079</v>
      </c>
      <c r="J234" s="303">
        <f t="shared" si="47"/>
        <v>2.1282176021486521E-10</v>
      </c>
      <c r="K234" s="303">
        <f t="shared" si="40"/>
        <v>0</v>
      </c>
      <c r="L234" s="303">
        <f t="shared" si="41"/>
        <v>0</v>
      </c>
      <c r="M234" s="303">
        <f t="shared" si="42"/>
        <v>0</v>
      </c>
      <c r="N234" s="307">
        <f t="shared" si="43"/>
        <v>2.1282176021486521E-10</v>
      </c>
    </row>
    <row r="235" spans="2:14" x14ac:dyDescent="0.45">
      <c r="B235" s="306">
        <f t="shared" si="44"/>
        <v>51105</v>
      </c>
      <c r="C235" s="303">
        <f t="shared" si="45"/>
        <v>-1.2187229003757238E-10</v>
      </c>
      <c r="D235" s="303">
        <f t="shared" si="36"/>
        <v>0</v>
      </c>
      <c r="E235" s="303">
        <f t="shared" si="37"/>
        <v>0</v>
      </c>
      <c r="F235" s="303">
        <f t="shared" si="38"/>
        <v>0</v>
      </c>
      <c r="G235" s="307">
        <f t="shared" si="39"/>
        <v>-1.2187229003757238E-10</v>
      </c>
      <c r="I235" s="306">
        <f t="shared" si="46"/>
        <v>52110</v>
      </c>
      <c r="J235" s="303">
        <f t="shared" si="47"/>
        <v>2.1282176021486521E-10</v>
      </c>
      <c r="K235" s="303">
        <f t="shared" si="40"/>
        <v>0</v>
      </c>
      <c r="L235" s="303">
        <f t="shared" si="41"/>
        <v>0</v>
      </c>
      <c r="M235" s="303">
        <f t="shared" si="42"/>
        <v>0</v>
      </c>
      <c r="N235" s="307">
        <f t="shared" si="43"/>
        <v>2.1282176021486521E-10</v>
      </c>
    </row>
    <row r="236" spans="2:14" x14ac:dyDescent="0.45">
      <c r="B236" s="306">
        <f t="shared" si="44"/>
        <v>51136</v>
      </c>
      <c r="C236" s="303">
        <f t="shared" si="45"/>
        <v>-1.2187229003757238E-10</v>
      </c>
      <c r="D236" s="303">
        <f t="shared" si="36"/>
        <v>0</v>
      </c>
      <c r="E236" s="303">
        <f t="shared" si="37"/>
        <v>0</v>
      </c>
      <c r="F236" s="303">
        <f t="shared" si="38"/>
        <v>0</v>
      </c>
      <c r="G236" s="307">
        <f t="shared" si="39"/>
        <v>-1.2187229003757238E-10</v>
      </c>
      <c r="I236" s="306">
        <f t="shared" si="46"/>
        <v>52140</v>
      </c>
      <c r="J236" s="303">
        <f t="shared" si="47"/>
        <v>2.1282176021486521E-10</v>
      </c>
      <c r="K236" s="303">
        <f t="shared" si="40"/>
        <v>0</v>
      </c>
      <c r="L236" s="303">
        <f t="shared" si="41"/>
        <v>0</v>
      </c>
      <c r="M236" s="303">
        <f t="shared" si="42"/>
        <v>0</v>
      </c>
      <c r="N236" s="307">
        <f t="shared" si="43"/>
        <v>2.1282176021486521E-10</v>
      </c>
    </row>
    <row r="237" spans="2:14" x14ac:dyDescent="0.45">
      <c r="B237" s="306">
        <f t="shared" si="44"/>
        <v>51167</v>
      </c>
      <c r="C237" s="303">
        <f t="shared" si="45"/>
        <v>-1.2187229003757238E-10</v>
      </c>
      <c r="D237" s="303">
        <f t="shared" si="36"/>
        <v>0</v>
      </c>
      <c r="E237" s="303">
        <f t="shared" si="37"/>
        <v>0</v>
      </c>
      <c r="F237" s="303">
        <f t="shared" si="38"/>
        <v>0</v>
      </c>
      <c r="G237" s="307">
        <f t="shared" si="39"/>
        <v>-1.2187229003757238E-10</v>
      </c>
      <c r="I237" s="306">
        <f t="shared" si="46"/>
        <v>52171</v>
      </c>
      <c r="J237" s="303">
        <f t="shared" si="47"/>
        <v>2.1282176021486521E-10</v>
      </c>
      <c r="K237" s="303">
        <f t="shared" si="40"/>
        <v>0</v>
      </c>
      <c r="L237" s="303">
        <f t="shared" si="41"/>
        <v>0</v>
      </c>
      <c r="M237" s="303">
        <f t="shared" si="42"/>
        <v>0</v>
      </c>
      <c r="N237" s="307">
        <f t="shared" si="43"/>
        <v>2.1282176021486521E-10</v>
      </c>
    </row>
    <row r="238" spans="2:14" x14ac:dyDescent="0.45">
      <c r="B238" s="306">
        <f t="shared" si="44"/>
        <v>51196</v>
      </c>
      <c r="C238" s="303">
        <f t="shared" si="45"/>
        <v>-1.2187229003757238E-10</v>
      </c>
      <c r="D238" s="303">
        <f t="shared" si="36"/>
        <v>0</v>
      </c>
      <c r="E238" s="303">
        <f t="shared" si="37"/>
        <v>0</v>
      </c>
      <c r="F238" s="303">
        <f t="shared" si="38"/>
        <v>0</v>
      </c>
      <c r="G238" s="307">
        <f t="shared" si="39"/>
        <v>-1.2187229003757238E-10</v>
      </c>
      <c r="I238" s="306">
        <f t="shared" si="46"/>
        <v>52201</v>
      </c>
      <c r="J238" s="303">
        <f t="shared" si="47"/>
        <v>2.1282176021486521E-10</v>
      </c>
      <c r="K238" s="303">
        <f t="shared" si="40"/>
        <v>0</v>
      </c>
      <c r="L238" s="303">
        <f t="shared" si="41"/>
        <v>0</v>
      </c>
      <c r="M238" s="303">
        <f t="shared" si="42"/>
        <v>0</v>
      </c>
      <c r="N238" s="307">
        <f t="shared" si="43"/>
        <v>2.1282176021486521E-10</v>
      </c>
    </row>
    <row r="239" spans="2:14" x14ac:dyDescent="0.45">
      <c r="B239" s="306">
        <f t="shared" si="44"/>
        <v>51227</v>
      </c>
      <c r="C239" s="303">
        <f t="shared" si="45"/>
        <v>-1.2187229003757238E-10</v>
      </c>
      <c r="D239" s="303">
        <f t="shared" si="36"/>
        <v>0</v>
      </c>
      <c r="E239" s="303">
        <f t="shared" si="37"/>
        <v>0</v>
      </c>
      <c r="F239" s="303">
        <f t="shared" si="38"/>
        <v>0</v>
      </c>
      <c r="G239" s="307">
        <f t="shared" si="39"/>
        <v>-1.2187229003757238E-10</v>
      </c>
      <c r="I239" s="306">
        <f t="shared" si="46"/>
        <v>52232</v>
      </c>
      <c r="J239" s="303">
        <f t="shared" si="47"/>
        <v>2.1282176021486521E-10</v>
      </c>
      <c r="K239" s="303">
        <f t="shared" si="40"/>
        <v>0</v>
      </c>
      <c r="L239" s="303">
        <f t="shared" si="41"/>
        <v>0</v>
      </c>
      <c r="M239" s="303">
        <f t="shared" si="42"/>
        <v>0</v>
      </c>
      <c r="N239" s="307">
        <f t="shared" si="43"/>
        <v>2.1282176021486521E-10</v>
      </c>
    </row>
    <row r="240" spans="2:14" x14ac:dyDescent="0.45">
      <c r="B240" s="306">
        <f t="shared" si="44"/>
        <v>51257</v>
      </c>
      <c r="C240" s="303">
        <f t="shared" si="45"/>
        <v>-1.2187229003757238E-10</v>
      </c>
      <c r="D240" s="303">
        <f t="shared" si="36"/>
        <v>0</v>
      </c>
      <c r="E240" s="303">
        <f t="shared" si="37"/>
        <v>0</v>
      </c>
      <c r="F240" s="303">
        <f t="shared" si="38"/>
        <v>0</v>
      </c>
      <c r="G240" s="307">
        <f t="shared" si="39"/>
        <v>-1.2187229003757238E-10</v>
      </c>
      <c r="I240" s="306">
        <f t="shared" si="46"/>
        <v>52263</v>
      </c>
      <c r="J240" s="303">
        <f t="shared" si="47"/>
        <v>2.1282176021486521E-10</v>
      </c>
      <c r="K240" s="303">
        <f t="shared" si="40"/>
        <v>0</v>
      </c>
      <c r="L240" s="303">
        <f t="shared" si="41"/>
        <v>0</v>
      </c>
      <c r="M240" s="303">
        <f t="shared" si="42"/>
        <v>0</v>
      </c>
      <c r="N240" s="307">
        <f t="shared" si="43"/>
        <v>2.1282176021486521E-10</v>
      </c>
    </row>
    <row r="241" spans="2:14" x14ac:dyDescent="0.45">
      <c r="B241" s="306">
        <f t="shared" si="44"/>
        <v>51288</v>
      </c>
      <c r="C241" s="303">
        <f t="shared" si="45"/>
        <v>-1.2187229003757238E-10</v>
      </c>
      <c r="D241" s="303">
        <f t="shared" si="36"/>
        <v>0</v>
      </c>
      <c r="E241" s="303">
        <f t="shared" si="37"/>
        <v>0</v>
      </c>
      <c r="F241" s="303">
        <f t="shared" si="38"/>
        <v>0</v>
      </c>
      <c r="G241" s="307">
        <f t="shared" si="39"/>
        <v>-1.2187229003757238E-10</v>
      </c>
      <c r="I241" s="306">
        <f t="shared" si="46"/>
        <v>52291</v>
      </c>
      <c r="J241" s="303">
        <f t="shared" si="47"/>
        <v>2.1282176021486521E-10</v>
      </c>
      <c r="K241" s="303">
        <f t="shared" si="40"/>
        <v>0</v>
      </c>
      <c r="L241" s="303">
        <f t="shared" si="41"/>
        <v>0</v>
      </c>
      <c r="M241" s="303">
        <f t="shared" si="42"/>
        <v>0</v>
      </c>
      <c r="N241" s="307">
        <f t="shared" si="43"/>
        <v>2.1282176021486521E-10</v>
      </c>
    </row>
    <row r="242" spans="2:14" x14ac:dyDescent="0.45">
      <c r="B242" s="306">
        <f t="shared" si="44"/>
        <v>51318</v>
      </c>
      <c r="C242" s="303">
        <f t="shared" si="45"/>
        <v>-1.2187229003757238E-10</v>
      </c>
      <c r="D242" s="303">
        <f t="shared" si="36"/>
        <v>0</v>
      </c>
      <c r="E242" s="303">
        <f t="shared" si="37"/>
        <v>0</v>
      </c>
      <c r="F242" s="303">
        <f t="shared" si="38"/>
        <v>0</v>
      </c>
      <c r="G242" s="307">
        <f t="shared" si="39"/>
        <v>-1.2187229003757238E-10</v>
      </c>
      <c r="I242" s="306">
        <f t="shared" si="46"/>
        <v>52322</v>
      </c>
      <c r="J242" s="303">
        <f t="shared" si="47"/>
        <v>2.1282176021486521E-10</v>
      </c>
      <c r="K242" s="303">
        <f t="shared" si="40"/>
        <v>0</v>
      </c>
      <c r="L242" s="303">
        <f t="shared" si="41"/>
        <v>0</v>
      </c>
      <c r="M242" s="303">
        <f t="shared" si="42"/>
        <v>0</v>
      </c>
      <c r="N242" s="307">
        <f t="shared" si="43"/>
        <v>2.1282176021486521E-10</v>
      </c>
    </row>
    <row r="243" spans="2:14" x14ac:dyDescent="0.45">
      <c r="B243" s="306">
        <f t="shared" si="44"/>
        <v>51349</v>
      </c>
      <c r="C243" s="303">
        <f t="shared" si="45"/>
        <v>-1.2187229003757238E-10</v>
      </c>
      <c r="D243" s="303">
        <f t="shared" si="36"/>
        <v>0</v>
      </c>
      <c r="E243" s="303">
        <f t="shared" si="37"/>
        <v>0</v>
      </c>
      <c r="F243" s="303">
        <f t="shared" si="38"/>
        <v>0</v>
      </c>
      <c r="G243" s="307">
        <f t="shared" si="39"/>
        <v>-1.2187229003757238E-10</v>
      </c>
      <c r="I243" s="306">
        <f t="shared" si="46"/>
        <v>52352</v>
      </c>
      <c r="J243" s="303">
        <f t="shared" si="47"/>
        <v>2.1282176021486521E-10</v>
      </c>
      <c r="K243" s="303">
        <f t="shared" si="40"/>
        <v>0</v>
      </c>
      <c r="L243" s="303">
        <f t="shared" si="41"/>
        <v>0</v>
      </c>
      <c r="M243" s="303">
        <f t="shared" si="42"/>
        <v>0</v>
      </c>
      <c r="N243" s="307">
        <f t="shared" si="43"/>
        <v>2.1282176021486521E-10</v>
      </c>
    </row>
    <row r="244" spans="2:14" x14ac:dyDescent="0.45">
      <c r="B244" s="306">
        <f t="shared" si="44"/>
        <v>51380</v>
      </c>
      <c r="C244" s="303">
        <f t="shared" si="45"/>
        <v>-1.2187229003757238E-10</v>
      </c>
      <c r="D244" s="303">
        <f t="shared" si="36"/>
        <v>0</v>
      </c>
      <c r="E244" s="303">
        <f t="shared" si="37"/>
        <v>0</v>
      </c>
      <c r="F244" s="303">
        <f t="shared" si="38"/>
        <v>0</v>
      </c>
      <c r="G244" s="307">
        <f t="shared" si="39"/>
        <v>-1.2187229003757238E-10</v>
      </c>
      <c r="I244" s="306">
        <f t="shared" si="46"/>
        <v>52383</v>
      </c>
      <c r="J244" s="303">
        <f t="shared" si="47"/>
        <v>2.1282176021486521E-10</v>
      </c>
      <c r="K244" s="303">
        <f t="shared" si="40"/>
        <v>0</v>
      </c>
      <c r="L244" s="303">
        <f t="shared" si="41"/>
        <v>0</v>
      </c>
      <c r="M244" s="303">
        <f t="shared" si="42"/>
        <v>0</v>
      </c>
      <c r="N244" s="307">
        <f t="shared" si="43"/>
        <v>2.1282176021486521E-10</v>
      </c>
    </row>
    <row r="245" spans="2:14" x14ac:dyDescent="0.45">
      <c r="B245" s="306">
        <f t="shared" si="44"/>
        <v>51410</v>
      </c>
      <c r="C245" s="303">
        <f t="shared" si="45"/>
        <v>-1.2187229003757238E-10</v>
      </c>
      <c r="D245" s="303">
        <f t="shared" si="36"/>
        <v>0</v>
      </c>
      <c r="E245" s="303">
        <f t="shared" si="37"/>
        <v>0</v>
      </c>
      <c r="F245" s="303">
        <f t="shared" si="38"/>
        <v>0</v>
      </c>
      <c r="G245" s="307">
        <f t="shared" si="39"/>
        <v>-1.2187229003757238E-10</v>
      </c>
      <c r="I245" s="306">
        <f t="shared" si="46"/>
        <v>52413</v>
      </c>
      <c r="J245" s="303">
        <f t="shared" si="47"/>
        <v>2.1282176021486521E-10</v>
      </c>
      <c r="K245" s="303">
        <f t="shared" si="40"/>
        <v>0</v>
      </c>
      <c r="L245" s="303">
        <f t="shared" si="41"/>
        <v>0</v>
      </c>
      <c r="M245" s="303">
        <f t="shared" si="42"/>
        <v>0</v>
      </c>
      <c r="N245" s="307">
        <f t="shared" si="43"/>
        <v>2.1282176021486521E-10</v>
      </c>
    </row>
    <row r="246" spans="2:14" x14ac:dyDescent="0.45">
      <c r="B246" s="306">
        <f t="shared" si="44"/>
        <v>51441</v>
      </c>
      <c r="C246" s="303">
        <f t="shared" si="45"/>
        <v>-1.2187229003757238E-10</v>
      </c>
      <c r="D246" s="303">
        <f t="shared" si="36"/>
        <v>0</v>
      </c>
      <c r="E246" s="303">
        <f t="shared" si="37"/>
        <v>0</v>
      </c>
      <c r="F246" s="303">
        <f t="shared" si="38"/>
        <v>0</v>
      </c>
      <c r="G246" s="307">
        <f t="shared" si="39"/>
        <v>-1.2187229003757238E-10</v>
      </c>
      <c r="I246" s="306">
        <f t="shared" si="46"/>
        <v>52444</v>
      </c>
      <c r="J246" s="303">
        <f t="shared" si="47"/>
        <v>2.1282176021486521E-10</v>
      </c>
      <c r="K246" s="303">
        <f t="shared" si="40"/>
        <v>0</v>
      </c>
      <c r="L246" s="303">
        <f t="shared" si="41"/>
        <v>0</v>
      </c>
      <c r="M246" s="303">
        <f t="shared" si="42"/>
        <v>0</v>
      </c>
      <c r="N246" s="307">
        <f t="shared" si="43"/>
        <v>2.1282176021486521E-10</v>
      </c>
    </row>
    <row r="247" spans="2:14" x14ac:dyDescent="0.45">
      <c r="B247" s="306">
        <f t="shared" si="44"/>
        <v>51471</v>
      </c>
      <c r="C247" s="303">
        <f t="shared" si="45"/>
        <v>-1.2187229003757238E-10</v>
      </c>
      <c r="D247" s="303">
        <f t="shared" si="36"/>
        <v>0</v>
      </c>
      <c r="E247" s="303">
        <f t="shared" si="37"/>
        <v>0</v>
      </c>
      <c r="F247" s="303">
        <f t="shared" si="38"/>
        <v>0</v>
      </c>
      <c r="G247" s="307">
        <f t="shared" si="39"/>
        <v>-1.2187229003757238E-10</v>
      </c>
      <c r="I247" s="306">
        <f t="shared" si="46"/>
        <v>52475</v>
      </c>
      <c r="J247" s="303">
        <f t="shared" si="47"/>
        <v>2.1282176021486521E-10</v>
      </c>
      <c r="K247" s="303">
        <f t="shared" si="40"/>
        <v>0</v>
      </c>
      <c r="L247" s="303">
        <f t="shared" si="41"/>
        <v>0</v>
      </c>
      <c r="M247" s="303">
        <f t="shared" si="42"/>
        <v>0</v>
      </c>
      <c r="N247" s="307">
        <f t="shared" si="43"/>
        <v>2.1282176021486521E-10</v>
      </c>
    </row>
    <row r="248" spans="2:14" x14ac:dyDescent="0.45">
      <c r="B248" s="306">
        <f t="shared" si="44"/>
        <v>51502</v>
      </c>
      <c r="C248" s="303">
        <f t="shared" si="45"/>
        <v>-1.2187229003757238E-10</v>
      </c>
      <c r="D248" s="303">
        <f t="shared" si="36"/>
        <v>0</v>
      </c>
      <c r="E248" s="303">
        <f t="shared" si="37"/>
        <v>0</v>
      </c>
      <c r="F248" s="303">
        <f t="shared" si="38"/>
        <v>0</v>
      </c>
      <c r="G248" s="307">
        <f t="shared" si="39"/>
        <v>-1.2187229003757238E-10</v>
      </c>
      <c r="I248" s="306">
        <f t="shared" si="46"/>
        <v>52505</v>
      </c>
      <c r="J248" s="303">
        <f t="shared" si="47"/>
        <v>2.1282176021486521E-10</v>
      </c>
      <c r="K248" s="303">
        <f t="shared" si="40"/>
        <v>0</v>
      </c>
      <c r="L248" s="303">
        <f t="shared" si="41"/>
        <v>0</v>
      </c>
      <c r="M248" s="303">
        <f t="shared" si="42"/>
        <v>0</v>
      </c>
      <c r="N248" s="307">
        <f t="shared" si="43"/>
        <v>2.1282176021486521E-10</v>
      </c>
    </row>
    <row r="249" spans="2:14" x14ac:dyDescent="0.45">
      <c r="B249" s="306">
        <f t="shared" si="44"/>
        <v>51533</v>
      </c>
      <c r="C249" s="303">
        <f t="shared" si="45"/>
        <v>-1.2187229003757238E-10</v>
      </c>
      <c r="D249" s="303">
        <f t="shared" si="36"/>
        <v>0</v>
      </c>
      <c r="E249" s="303">
        <f t="shared" si="37"/>
        <v>0</v>
      </c>
      <c r="F249" s="303">
        <f t="shared" si="38"/>
        <v>0</v>
      </c>
      <c r="G249" s="307">
        <f t="shared" si="39"/>
        <v>-1.2187229003757238E-10</v>
      </c>
      <c r="I249" s="306">
        <f t="shared" si="46"/>
        <v>52536</v>
      </c>
      <c r="J249" s="303">
        <f t="shared" si="47"/>
        <v>2.1282176021486521E-10</v>
      </c>
      <c r="K249" s="303">
        <f t="shared" si="40"/>
        <v>0</v>
      </c>
      <c r="L249" s="303">
        <f t="shared" si="41"/>
        <v>0</v>
      </c>
      <c r="M249" s="303">
        <f t="shared" si="42"/>
        <v>0</v>
      </c>
      <c r="N249" s="307">
        <f t="shared" si="43"/>
        <v>2.1282176021486521E-10</v>
      </c>
    </row>
    <row r="250" spans="2:14" x14ac:dyDescent="0.45">
      <c r="B250" s="306">
        <f t="shared" si="44"/>
        <v>51561</v>
      </c>
      <c r="C250" s="303">
        <f t="shared" si="45"/>
        <v>-1.2187229003757238E-10</v>
      </c>
      <c r="D250" s="303">
        <f t="shared" si="36"/>
        <v>0</v>
      </c>
      <c r="E250" s="303">
        <f t="shared" si="37"/>
        <v>0</v>
      </c>
      <c r="F250" s="303">
        <f t="shared" si="38"/>
        <v>0</v>
      </c>
      <c r="G250" s="307">
        <f t="shared" si="39"/>
        <v>-1.2187229003757238E-10</v>
      </c>
      <c r="I250" s="306">
        <f t="shared" si="46"/>
        <v>52566</v>
      </c>
      <c r="J250" s="303">
        <f t="shared" si="47"/>
        <v>2.1282176021486521E-10</v>
      </c>
      <c r="K250" s="303">
        <f t="shared" si="40"/>
        <v>0</v>
      </c>
      <c r="L250" s="303">
        <f t="shared" si="41"/>
        <v>0</v>
      </c>
      <c r="M250" s="303">
        <f t="shared" si="42"/>
        <v>0</v>
      </c>
      <c r="N250" s="307">
        <f t="shared" si="43"/>
        <v>2.1282176021486521E-10</v>
      </c>
    </row>
    <row r="251" spans="2:14" x14ac:dyDescent="0.45">
      <c r="B251" s="306">
        <f t="shared" si="44"/>
        <v>51592</v>
      </c>
      <c r="C251" s="303">
        <f t="shared" si="45"/>
        <v>-1.2187229003757238E-10</v>
      </c>
      <c r="D251" s="303">
        <f t="shared" si="36"/>
        <v>0</v>
      </c>
      <c r="E251" s="303">
        <f t="shared" si="37"/>
        <v>0</v>
      </c>
      <c r="F251" s="303">
        <f t="shared" si="38"/>
        <v>0</v>
      </c>
      <c r="G251" s="307">
        <f t="shared" si="39"/>
        <v>-1.2187229003757238E-10</v>
      </c>
      <c r="I251" s="306">
        <f t="shared" si="46"/>
        <v>52597</v>
      </c>
      <c r="J251" s="303">
        <f t="shared" si="47"/>
        <v>2.1282176021486521E-10</v>
      </c>
      <c r="K251" s="303">
        <f t="shared" si="40"/>
        <v>0</v>
      </c>
      <c r="L251" s="303">
        <f t="shared" si="41"/>
        <v>0</v>
      </c>
      <c r="M251" s="303">
        <f t="shared" si="42"/>
        <v>0</v>
      </c>
      <c r="N251" s="307">
        <f t="shared" si="43"/>
        <v>2.1282176021486521E-10</v>
      </c>
    </row>
    <row r="252" spans="2:14" x14ac:dyDescent="0.45">
      <c r="B252" s="306">
        <f t="shared" si="44"/>
        <v>51622</v>
      </c>
      <c r="C252" s="303">
        <f t="shared" si="45"/>
        <v>-1.2187229003757238E-10</v>
      </c>
      <c r="D252" s="303">
        <f t="shared" si="36"/>
        <v>0</v>
      </c>
      <c r="E252" s="303">
        <f t="shared" si="37"/>
        <v>0</v>
      </c>
      <c r="F252" s="303">
        <f t="shared" si="38"/>
        <v>0</v>
      </c>
      <c r="G252" s="307">
        <f t="shared" si="39"/>
        <v>-1.2187229003757238E-10</v>
      </c>
      <c r="I252" s="306">
        <f t="shared" si="46"/>
        <v>52628</v>
      </c>
      <c r="J252" s="303">
        <f t="shared" si="47"/>
        <v>2.1282176021486521E-10</v>
      </c>
      <c r="K252" s="303">
        <f t="shared" si="40"/>
        <v>0</v>
      </c>
      <c r="L252" s="303">
        <f t="shared" si="41"/>
        <v>0</v>
      </c>
      <c r="M252" s="303">
        <f t="shared" si="42"/>
        <v>0</v>
      </c>
      <c r="N252" s="307">
        <f t="shared" si="43"/>
        <v>2.1282176021486521E-10</v>
      </c>
    </row>
    <row r="253" spans="2:14" x14ac:dyDescent="0.45">
      <c r="B253" s="306">
        <f t="shared" si="44"/>
        <v>51653</v>
      </c>
      <c r="C253" s="303">
        <f t="shared" si="45"/>
        <v>-1.2187229003757238E-10</v>
      </c>
      <c r="D253" s="303">
        <f t="shared" si="36"/>
        <v>0</v>
      </c>
      <c r="E253" s="303">
        <f t="shared" si="37"/>
        <v>0</v>
      </c>
      <c r="F253" s="303">
        <f t="shared" si="38"/>
        <v>0</v>
      </c>
      <c r="G253" s="307">
        <f t="shared" si="39"/>
        <v>-1.2187229003757238E-10</v>
      </c>
      <c r="I253" s="306">
        <f t="shared" si="46"/>
        <v>52657</v>
      </c>
      <c r="J253" s="303">
        <f t="shared" si="47"/>
        <v>2.1282176021486521E-10</v>
      </c>
      <c r="K253" s="303">
        <f t="shared" si="40"/>
        <v>0</v>
      </c>
      <c r="L253" s="303">
        <f t="shared" si="41"/>
        <v>0</v>
      </c>
      <c r="M253" s="303">
        <f t="shared" si="42"/>
        <v>0</v>
      </c>
      <c r="N253" s="307">
        <f t="shared" si="43"/>
        <v>2.1282176021486521E-10</v>
      </c>
    </row>
    <row r="254" spans="2:14" x14ac:dyDescent="0.45">
      <c r="B254" s="306">
        <f t="shared" si="44"/>
        <v>51683</v>
      </c>
      <c r="C254" s="303">
        <f t="shared" si="45"/>
        <v>-1.2187229003757238E-10</v>
      </c>
      <c r="D254" s="303">
        <f t="shared" si="36"/>
        <v>0</v>
      </c>
      <c r="E254" s="303">
        <f t="shared" si="37"/>
        <v>0</v>
      </c>
      <c r="F254" s="303">
        <f t="shared" si="38"/>
        <v>0</v>
      </c>
      <c r="G254" s="307">
        <f t="shared" si="39"/>
        <v>-1.2187229003757238E-10</v>
      </c>
      <c r="I254" s="306">
        <f t="shared" si="46"/>
        <v>52688</v>
      </c>
      <c r="J254" s="303">
        <f t="shared" si="47"/>
        <v>2.1282176021486521E-10</v>
      </c>
      <c r="K254" s="303">
        <f t="shared" si="40"/>
        <v>0</v>
      </c>
      <c r="L254" s="303">
        <f t="shared" si="41"/>
        <v>0</v>
      </c>
      <c r="M254" s="303">
        <f t="shared" si="42"/>
        <v>0</v>
      </c>
      <c r="N254" s="307">
        <f t="shared" si="43"/>
        <v>2.1282176021486521E-10</v>
      </c>
    </row>
    <row r="255" spans="2:14" x14ac:dyDescent="0.45">
      <c r="B255" s="306">
        <f t="shared" si="44"/>
        <v>51714</v>
      </c>
      <c r="C255" s="303">
        <f t="shared" si="45"/>
        <v>-1.2187229003757238E-10</v>
      </c>
      <c r="D255" s="303">
        <f t="shared" si="36"/>
        <v>0</v>
      </c>
      <c r="E255" s="303">
        <f t="shared" si="37"/>
        <v>0</v>
      </c>
      <c r="F255" s="303">
        <f t="shared" si="38"/>
        <v>0</v>
      </c>
      <c r="G255" s="307">
        <f t="shared" si="39"/>
        <v>-1.2187229003757238E-10</v>
      </c>
      <c r="I255" s="306">
        <f t="shared" si="46"/>
        <v>52718</v>
      </c>
      <c r="J255" s="303">
        <f t="shared" si="47"/>
        <v>2.1282176021486521E-10</v>
      </c>
      <c r="K255" s="303">
        <f t="shared" si="40"/>
        <v>0</v>
      </c>
      <c r="L255" s="303">
        <f t="shared" si="41"/>
        <v>0</v>
      </c>
      <c r="M255" s="303">
        <f t="shared" si="42"/>
        <v>0</v>
      </c>
      <c r="N255" s="307">
        <f t="shared" si="43"/>
        <v>2.1282176021486521E-10</v>
      </c>
    </row>
    <row r="256" spans="2:14" x14ac:dyDescent="0.45">
      <c r="B256" s="306">
        <f t="shared" si="44"/>
        <v>51745</v>
      </c>
      <c r="C256" s="303">
        <f t="shared" si="45"/>
        <v>-1.2187229003757238E-10</v>
      </c>
      <c r="D256" s="303">
        <f t="shared" si="36"/>
        <v>0</v>
      </c>
      <c r="E256" s="303">
        <f t="shared" si="37"/>
        <v>0</v>
      </c>
      <c r="F256" s="303">
        <f t="shared" si="38"/>
        <v>0</v>
      </c>
      <c r="G256" s="307">
        <f t="shared" si="39"/>
        <v>-1.2187229003757238E-10</v>
      </c>
      <c r="I256" s="306">
        <f t="shared" si="46"/>
        <v>52749</v>
      </c>
      <c r="J256" s="303">
        <f t="shared" si="47"/>
        <v>2.1282176021486521E-10</v>
      </c>
      <c r="K256" s="303">
        <f t="shared" si="40"/>
        <v>0</v>
      </c>
      <c r="L256" s="303">
        <f t="shared" si="41"/>
        <v>0</v>
      </c>
      <c r="M256" s="303">
        <f t="shared" si="42"/>
        <v>0</v>
      </c>
      <c r="N256" s="307">
        <f t="shared" si="43"/>
        <v>2.1282176021486521E-10</v>
      </c>
    </row>
    <row r="257" spans="2:14" x14ac:dyDescent="0.45">
      <c r="B257" s="306">
        <f t="shared" si="44"/>
        <v>51775</v>
      </c>
      <c r="C257" s="303">
        <f t="shared" si="45"/>
        <v>-1.2187229003757238E-10</v>
      </c>
      <c r="D257" s="303">
        <f t="shared" si="36"/>
        <v>0</v>
      </c>
      <c r="E257" s="303">
        <f t="shared" si="37"/>
        <v>0</v>
      </c>
      <c r="F257" s="303">
        <f t="shared" si="38"/>
        <v>0</v>
      </c>
      <c r="G257" s="307">
        <f t="shared" si="39"/>
        <v>-1.2187229003757238E-10</v>
      </c>
      <c r="I257" s="306">
        <f t="shared" si="46"/>
        <v>52779</v>
      </c>
      <c r="J257" s="303">
        <f t="shared" si="47"/>
        <v>2.1282176021486521E-10</v>
      </c>
      <c r="K257" s="303">
        <f t="shared" si="40"/>
        <v>0</v>
      </c>
      <c r="L257" s="303">
        <f t="shared" si="41"/>
        <v>0</v>
      </c>
      <c r="M257" s="303">
        <f t="shared" si="42"/>
        <v>0</v>
      </c>
      <c r="N257" s="307">
        <f t="shared" si="43"/>
        <v>2.1282176021486521E-10</v>
      </c>
    </row>
    <row r="258" spans="2:14" x14ac:dyDescent="0.45">
      <c r="B258" s="306">
        <f t="shared" si="44"/>
        <v>51806</v>
      </c>
      <c r="C258" s="303">
        <f t="shared" si="45"/>
        <v>-1.2187229003757238E-10</v>
      </c>
      <c r="D258" s="303">
        <f t="shared" si="36"/>
        <v>0</v>
      </c>
      <c r="E258" s="303">
        <f t="shared" si="37"/>
        <v>0</v>
      </c>
      <c r="F258" s="303">
        <f t="shared" si="38"/>
        <v>0</v>
      </c>
      <c r="G258" s="307">
        <f t="shared" si="39"/>
        <v>-1.2187229003757238E-10</v>
      </c>
      <c r="I258" s="306">
        <f t="shared" si="46"/>
        <v>52810</v>
      </c>
      <c r="J258" s="303">
        <f t="shared" si="47"/>
        <v>2.1282176021486521E-10</v>
      </c>
      <c r="K258" s="303">
        <f t="shared" si="40"/>
        <v>0</v>
      </c>
      <c r="L258" s="303">
        <f t="shared" si="41"/>
        <v>0</v>
      </c>
      <c r="M258" s="303">
        <f t="shared" si="42"/>
        <v>0</v>
      </c>
      <c r="N258" s="307">
        <f t="shared" si="43"/>
        <v>2.1282176021486521E-10</v>
      </c>
    </row>
    <row r="259" spans="2:14" x14ac:dyDescent="0.45">
      <c r="B259" s="306">
        <f t="shared" si="44"/>
        <v>51836</v>
      </c>
      <c r="C259" s="303">
        <f t="shared" si="45"/>
        <v>-1.2187229003757238E-10</v>
      </c>
      <c r="D259" s="303">
        <f t="shared" si="36"/>
        <v>0</v>
      </c>
      <c r="E259" s="303">
        <f t="shared" si="37"/>
        <v>0</v>
      </c>
      <c r="F259" s="303">
        <f t="shared" si="38"/>
        <v>0</v>
      </c>
      <c r="G259" s="307">
        <f t="shared" si="39"/>
        <v>-1.2187229003757238E-10</v>
      </c>
      <c r="I259" s="306">
        <f t="shared" si="46"/>
        <v>52841</v>
      </c>
      <c r="J259" s="303">
        <f t="shared" si="47"/>
        <v>2.1282176021486521E-10</v>
      </c>
      <c r="K259" s="303">
        <f t="shared" si="40"/>
        <v>0</v>
      </c>
      <c r="L259" s="303">
        <f t="shared" si="41"/>
        <v>0</v>
      </c>
      <c r="M259" s="303">
        <f t="shared" si="42"/>
        <v>0</v>
      </c>
      <c r="N259" s="307">
        <f t="shared" si="43"/>
        <v>2.1282176021486521E-10</v>
      </c>
    </row>
    <row r="260" spans="2:14" x14ac:dyDescent="0.45">
      <c r="B260" s="306">
        <f t="shared" si="44"/>
        <v>51867</v>
      </c>
      <c r="C260" s="303">
        <f t="shared" si="45"/>
        <v>-1.2187229003757238E-10</v>
      </c>
      <c r="D260" s="303">
        <f t="shared" si="36"/>
        <v>0</v>
      </c>
      <c r="E260" s="303">
        <f t="shared" si="37"/>
        <v>0</v>
      </c>
      <c r="F260" s="303">
        <f t="shared" si="38"/>
        <v>0</v>
      </c>
      <c r="G260" s="307">
        <f t="shared" si="39"/>
        <v>-1.2187229003757238E-10</v>
      </c>
      <c r="I260" s="306">
        <f t="shared" si="46"/>
        <v>52871</v>
      </c>
      <c r="J260" s="303">
        <f t="shared" si="47"/>
        <v>2.1282176021486521E-10</v>
      </c>
      <c r="K260" s="303">
        <f t="shared" si="40"/>
        <v>0</v>
      </c>
      <c r="L260" s="303">
        <f t="shared" si="41"/>
        <v>0</v>
      </c>
      <c r="M260" s="303">
        <f t="shared" si="42"/>
        <v>0</v>
      </c>
      <c r="N260" s="307">
        <f t="shared" si="43"/>
        <v>2.1282176021486521E-10</v>
      </c>
    </row>
    <row r="261" spans="2:14" x14ac:dyDescent="0.45">
      <c r="B261" s="306">
        <f t="shared" si="44"/>
        <v>51898</v>
      </c>
      <c r="C261" s="303">
        <f t="shared" si="45"/>
        <v>-1.2187229003757238E-10</v>
      </c>
      <c r="D261" s="303">
        <f t="shared" si="36"/>
        <v>0</v>
      </c>
      <c r="E261" s="303">
        <f t="shared" si="37"/>
        <v>0</v>
      </c>
      <c r="F261" s="303">
        <f t="shared" si="38"/>
        <v>0</v>
      </c>
      <c r="G261" s="307">
        <f t="shared" si="39"/>
        <v>-1.2187229003757238E-10</v>
      </c>
      <c r="I261" s="306">
        <f t="shared" si="46"/>
        <v>52902</v>
      </c>
      <c r="J261" s="303">
        <f t="shared" si="47"/>
        <v>2.1282176021486521E-10</v>
      </c>
      <c r="K261" s="303">
        <f t="shared" si="40"/>
        <v>0</v>
      </c>
      <c r="L261" s="303">
        <f t="shared" si="41"/>
        <v>0</v>
      </c>
      <c r="M261" s="303">
        <f t="shared" si="42"/>
        <v>0</v>
      </c>
      <c r="N261" s="307">
        <f t="shared" si="43"/>
        <v>2.1282176021486521E-10</v>
      </c>
    </row>
    <row r="262" spans="2:14" x14ac:dyDescent="0.45">
      <c r="B262" s="306">
        <f t="shared" si="44"/>
        <v>51926</v>
      </c>
      <c r="C262" s="303">
        <f t="shared" si="45"/>
        <v>-1.2187229003757238E-10</v>
      </c>
      <c r="D262" s="303">
        <f t="shared" si="36"/>
        <v>0</v>
      </c>
      <c r="E262" s="303">
        <f t="shared" si="37"/>
        <v>0</v>
      </c>
      <c r="F262" s="303">
        <f t="shared" si="38"/>
        <v>0</v>
      </c>
      <c r="G262" s="307">
        <f t="shared" si="39"/>
        <v>-1.2187229003757238E-10</v>
      </c>
      <c r="I262" s="306">
        <f t="shared" si="46"/>
        <v>52932</v>
      </c>
      <c r="J262" s="303">
        <f t="shared" si="47"/>
        <v>2.1282176021486521E-10</v>
      </c>
      <c r="K262" s="303">
        <f t="shared" si="40"/>
        <v>0</v>
      </c>
      <c r="L262" s="303">
        <f t="shared" si="41"/>
        <v>0</v>
      </c>
      <c r="M262" s="303">
        <f t="shared" si="42"/>
        <v>0</v>
      </c>
      <c r="N262" s="307">
        <f t="shared" si="43"/>
        <v>2.1282176021486521E-10</v>
      </c>
    </row>
    <row r="263" spans="2:14" x14ac:dyDescent="0.45">
      <c r="B263" s="306">
        <f t="shared" si="44"/>
        <v>51957</v>
      </c>
      <c r="C263" s="303">
        <f t="shared" si="45"/>
        <v>-1.2187229003757238E-10</v>
      </c>
      <c r="D263" s="303">
        <f t="shared" si="36"/>
        <v>0</v>
      </c>
      <c r="E263" s="303">
        <f t="shared" si="37"/>
        <v>0</v>
      </c>
      <c r="F263" s="303">
        <f t="shared" si="38"/>
        <v>0</v>
      </c>
      <c r="G263" s="307">
        <f t="shared" si="39"/>
        <v>-1.2187229003757238E-10</v>
      </c>
      <c r="I263" s="306">
        <f t="shared" si="46"/>
        <v>52963</v>
      </c>
      <c r="J263" s="303">
        <f t="shared" si="47"/>
        <v>2.1282176021486521E-10</v>
      </c>
      <c r="K263" s="303">
        <f t="shared" si="40"/>
        <v>0</v>
      </c>
      <c r="L263" s="303">
        <f t="shared" si="41"/>
        <v>0</v>
      </c>
      <c r="M263" s="303">
        <f t="shared" si="42"/>
        <v>0</v>
      </c>
      <c r="N263" s="307">
        <f t="shared" si="43"/>
        <v>2.1282176021486521E-10</v>
      </c>
    </row>
    <row r="264" spans="2:14" x14ac:dyDescent="0.45">
      <c r="B264" s="306">
        <f t="shared" si="44"/>
        <v>51987</v>
      </c>
      <c r="C264" s="303">
        <f t="shared" si="45"/>
        <v>-1.2187229003757238E-10</v>
      </c>
      <c r="D264" s="303">
        <f t="shared" si="36"/>
        <v>0</v>
      </c>
      <c r="E264" s="303">
        <f t="shared" si="37"/>
        <v>0</v>
      </c>
      <c r="F264" s="303">
        <f t="shared" si="38"/>
        <v>0</v>
      </c>
      <c r="G264" s="307">
        <f t="shared" si="39"/>
        <v>-1.2187229003757238E-10</v>
      </c>
      <c r="I264" s="306">
        <f t="shared" si="46"/>
        <v>52994</v>
      </c>
      <c r="J264" s="303">
        <f t="shared" si="47"/>
        <v>2.1282176021486521E-10</v>
      </c>
      <c r="K264" s="303">
        <f t="shared" si="40"/>
        <v>0</v>
      </c>
      <c r="L264" s="303">
        <f t="shared" si="41"/>
        <v>0</v>
      </c>
      <c r="M264" s="303">
        <f t="shared" si="42"/>
        <v>0</v>
      </c>
      <c r="N264" s="307">
        <f t="shared" si="43"/>
        <v>2.1282176021486521E-10</v>
      </c>
    </row>
    <row r="265" spans="2:14" x14ac:dyDescent="0.45">
      <c r="B265" s="306">
        <f t="shared" si="44"/>
        <v>52018</v>
      </c>
      <c r="C265" s="303">
        <f t="shared" si="45"/>
        <v>-1.2187229003757238E-10</v>
      </c>
      <c r="D265" s="303">
        <f t="shared" si="36"/>
        <v>0</v>
      </c>
      <c r="E265" s="303">
        <f t="shared" si="37"/>
        <v>0</v>
      </c>
      <c r="F265" s="303">
        <f t="shared" si="38"/>
        <v>0</v>
      </c>
      <c r="G265" s="307">
        <f t="shared" si="39"/>
        <v>-1.2187229003757238E-10</v>
      </c>
      <c r="I265" s="306">
        <f t="shared" si="46"/>
        <v>53022</v>
      </c>
      <c r="J265" s="303">
        <f t="shared" si="47"/>
        <v>2.1282176021486521E-10</v>
      </c>
      <c r="K265" s="303">
        <f t="shared" si="40"/>
        <v>0</v>
      </c>
      <c r="L265" s="303">
        <f t="shared" si="41"/>
        <v>0</v>
      </c>
      <c r="M265" s="303">
        <f t="shared" si="42"/>
        <v>0</v>
      </c>
      <c r="N265" s="307">
        <f t="shared" si="43"/>
        <v>2.1282176021486521E-10</v>
      </c>
    </row>
    <row r="266" spans="2:14" x14ac:dyDescent="0.45">
      <c r="B266" s="306">
        <f t="shared" si="44"/>
        <v>52048</v>
      </c>
      <c r="C266" s="303">
        <f t="shared" si="45"/>
        <v>-1.2187229003757238E-10</v>
      </c>
      <c r="D266" s="303">
        <f t="shared" si="36"/>
        <v>0</v>
      </c>
      <c r="E266" s="303">
        <f t="shared" si="37"/>
        <v>0</v>
      </c>
      <c r="F266" s="303">
        <f t="shared" si="38"/>
        <v>0</v>
      </c>
      <c r="G266" s="307">
        <f t="shared" si="39"/>
        <v>-1.2187229003757238E-10</v>
      </c>
      <c r="I266" s="306">
        <f t="shared" si="46"/>
        <v>53053</v>
      </c>
      <c r="J266" s="303">
        <f t="shared" si="47"/>
        <v>2.1282176021486521E-10</v>
      </c>
      <c r="K266" s="303">
        <f t="shared" si="40"/>
        <v>0</v>
      </c>
      <c r="L266" s="303">
        <f t="shared" si="41"/>
        <v>0</v>
      </c>
      <c r="M266" s="303">
        <f t="shared" si="42"/>
        <v>0</v>
      </c>
      <c r="N266" s="307">
        <f t="shared" si="43"/>
        <v>2.1282176021486521E-10</v>
      </c>
    </row>
    <row r="267" spans="2:14" x14ac:dyDescent="0.45">
      <c r="B267" s="306">
        <f t="shared" si="44"/>
        <v>52079</v>
      </c>
      <c r="C267" s="303">
        <f t="shared" si="45"/>
        <v>-1.2187229003757238E-10</v>
      </c>
      <c r="D267" s="303">
        <f t="shared" si="36"/>
        <v>0</v>
      </c>
      <c r="E267" s="303">
        <f t="shared" si="37"/>
        <v>0</v>
      </c>
      <c r="F267" s="303">
        <f t="shared" si="38"/>
        <v>0</v>
      </c>
      <c r="G267" s="307">
        <f t="shared" si="39"/>
        <v>-1.2187229003757238E-10</v>
      </c>
      <c r="I267" s="306">
        <f t="shared" si="46"/>
        <v>53083</v>
      </c>
      <c r="J267" s="303">
        <f t="shared" si="47"/>
        <v>2.1282176021486521E-10</v>
      </c>
      <c r="K267" s="303">
        <f t="shared" si="40"/>
        <v>0</v>
      </c>
      <c r="L267" s="303">
        <f t="shared" si="41"/>
        <v>0</v>
      </c>
      <c r="M267" s="303">
        <f t="shared" si="42"/>
        <v>0</v>
      </c>
      <c r="N267" s="307">
        <f t="shared" si="43"/>
        <v>2.1282176021486521E-10</v>
      </c>
    </row>
    <row r="268" spans="2:14" x14ac:dyDescent="0.45">
      <c r="B268" s="306">
        <f t="shared" si="44"/>
        <v>52110</v>
      </c>
      <c r="C268" s="303">
        <f t="shared" si="45"/>
        <v>-1.2187229003757238E-10</v>
      </c>
      <c r="D268" s="303">
        <f t="shared" ref="D268:D331" si="48">IF(ROUNDDOWN(C268,0)=0,0,PMT($E$4/12,$E$7,-$E$8)+$E$5)</f>
        <v>0</v>
      </c>
      <c r="E268" s="303">
        <f t="shared" ref="E268:E331" si="49">IF(ROUNDDOWN(C268,0)=0,0,(C268*$E$4/12)+$E$5)</f>
        <v>0</v>
      </c>
      <c r="F268" s="303">
        <f t="shared" ref="F268:F331" si="50">D268-E268</f>
        <v>0</v>
      </c>
      <c r="G268" s="307">
        <f t="shared" ref="G268:G331" si="51">C268-F268</f>
        <v>-1.2187229003757238E-10</v>
      </c>
      <c r="I268" s="306">
        <f t="shared" si="46"/>
        <v>53114</v>
      </c>
      <c r="J268" s="303">
        <f t="shared" si="47"/>
        <v>2.1282176021486521E-10</v>
      </c>
      <c r="K268" s="303">
        <f t="shared" ref="K268:K331" si="52">IF(ROUNDDOWN(J268,0)=0,0,PMT($L$4/12,$L$7,-$L$8)+$L$5)</f>
        <v>0</v>
      </c>
      <c r="L268" s="303">
        <f t="shared" ref="L268:L331" si="53">IF(ROUNDDOWN(J268,0)=0,0,(J268*$L$4/12)+$L$5)</f>
        <v>0</v>
      </c>
      <c r="M268" s="303">
        <f t="shared" ref="M268:M331" si="54">K268-L268</f>
        <v>0</v>
      </c>
      <c r="N268" s="307">
        <f t="shared" ref="N268:N331" si="55">J268-M268</f>
        <v>2.1282176021486521E-10</v>
      </c>
    </row>
    <row r="269" spans="2:14" x14ac:dyDescent="0.45">
      <c r="B269" s="306">
        <f t="shared" ref="B269:B332" si="56">EDATE(B268,1)</f>
        <v>52140</v>
      </c>
      <c r="C269" s="303">
        <f t="shared" ref="C269:C332" si="57">G268</f>
        <v>-1.2187229003757238E-10</v>
      </c>
      <c r="D269" s="303">
        <f t="shared" si="48"/>
        <v>0</v>
      </c>
      <c r="E269" s="303">
        <f t="shared" si="49"/>
        <v>0</v>
      </c>
      <c r="F269" s="303">
        <f t="shared" si="50"/>
        <v>0</v>
      </c>
      <c r="G269" s="307">
        <f t="shared" si="51"/>
        <v>-1.2187229003757238E-10</v>
      </c>
      <c r="I269" s="306">
        <f t="shared" ref="I269:I332" si="58">EDATE(I268,1)</f>
        <v>53144</v>
      </c>
      <c r="J269" s="303">
        <f t="shared" ref="J269:J332" si="59">N268</f>
        <v>2.1282176021486521E-10</v>
      </c>
      <c r="K269" s="303">
        <f t="shared" si="52"/>
        <v>0</v>
      </c>
      <c r="L269" s="303">
        <f t="shared" si="53"/>
        <v>0</v>
      </c>
      <c r="M269" s="303">
        <f t="shared" si="54"/>
        <v>0</v>
      </c>
      <c r="N269" s="307">
        <f t="shared" si="55"/>
        <v>2.1282176021486521E-10</v>
      </c>
    </row>
    <row r="270" spans="2:14" x14ac:dyDescent="0.45">
      <c r="B270" s="306">
        <f t="shared" si="56"/>
        <v>52171</v>
      </c>
      <c r="C270" s="303">
        <f t="shared" si="57"/>
        <v>-1.2187229003757238E-10</v>
      </c>
      <c r="D270" s="303">
        <f t="shared" si="48"/>
        <v>0</v>
      </c>
      <c r="E270" s="303">
        <f t="shared" si="49"/>
        <v>0</v>
      </c>
      <c r="F270" s="303">
        <f t="shared" si="50"/>
        <v>0</v>
      </c>
      <c r="G270" s="307">
        <f t="shared" si="51"/>
        <v>-1.2187229003757238E-10</v>
      </c>
      <c r="I270" s="306">
        <f t="shared" si="58"/>
        <v>53175</v>
      </c>
      <c r="J270" s="303">
        <f t="shared" si="59"/>
        <v>2.1282176021486521E-10</v>
      </c>
      <c r="K270" s="303">
        <f t="shared" si="52"/>
        <v>0</v>
      </c>
      <c r="L270" s="303">
        <f t="shared" si="53"/>
        <v>0</v>
      </c>
      <c r="M270" s="303">
        <f t="shared" si="54"/>
        <v>0</v>
      </c>
      <c r="N270" s="307">
        <f t="shared" si="55"/>
        <v>2.1282176021486521E-10</v>
      </c>
    </row>
    <row r="271" spans="2:14" x14ac:dyDescent="0.45">
      <c r="B271" s="306">
        <f t="shared" si="56"/>
        <v>52201</v>
      </c>
      <c r="C271" s="303">
        <f t="shared" si="57"/>
        <v>-1.2187229003757238E-10</v>
      </c>
      <c r="D271" s="303">
        <f t="shared" si="48"/>
        <v>0</v>
      </c>
      <c r="E271" s="303">
        <f t="shared" si="49"/>
        <v>0</v>
      </c>
      <c r="F271" s="303">
        <f t="shared" si="50"/>
        <v>0</v>
      </c>
      <c r="G271" s="307">
        <f t="shared" si="51"/>
        <v>-1.2187229003757238E-10</v>
      </c>
      <c r="I271" s="306">
        <f t="shared" si="58"/>
        <v>53206</v>
      </c>
      <c r="J271" s="303">
        <f t="shared" si="59"/>
        <v>2.1282176021486521E-10</v>
      </c>
      <c r="K271" s="303">
        <f t="shared" si="52"/>
        <v>0</v>
      </c>
      <c r="L271" s="303">
        <f t="shared" si="53"/>
        <v>0</v>
      </c>
      <c r="M271" s="303">
        <f t="shared" si="54"/>
        <v>0</v>
      </c>
      <c r="N271" s="307">
        <f t="shared" si="55"/>
        <v>2.1282176021486521E-10</v>
      </c>
    </row>
    <row r="272" spans="2:14" x14ac:dyDescent="0.45">
      <c r="B272" s="306">
        <f t="shared" si="56"/>
        <v>52232</v>
      </c>
      <c r="C272" s="303">
        <f t="shared" si="57"/>
        <v>-1.2187229003757238E-10</v>
      </c>
      <c r="D272" s="303">
        <f t="shared" si="48"/>
        <v>0</v>
      </c>
      <c r="E272" s="303">
        <f t="shared" si="49"/>
        <v>0</v>
      </c>
      <c r="F272" s="303">
        <f t="shared" si="50"/>
        <v>0</v>
      </c>
      <c r="G272" s="307">
        <f t="shared" si="51"/>
        <v>-1.2187229003757238E-10</v>
      </c>
      <c r="I272" s="306">
        <f t="shared" si="58"/>
        <v>53236</v>
      </c>
      <c r="J272" s="303">
        <f t="shared" si="59"/>
        <v>2.1282176021486521E-10</v>
      </c>
      <c r="K272" s="303">
        <f t="shared" si="52"/>
        <v>0</v>
      </c>
      <c r="L272" s="303">
        <f t="shared" si="53"/>
        <v>0</v>
      </c>
      <c r="M272" s="303">
        <f t="shared" si="54"/>
        <v>0</v>
      </c>
      <c r="N272" s="307">
        <f t="shared" si="55"/>
        <v>2.1282176021486521E-10</v>
      </c>
    </row>
    <row r="273" spans="2:14" x14ac:dyDescent="0.45">
      <c r="B273" s="306">
        <f t="shared" si="56"/>
        <v>52263</v>
      </c>
      <c r="C273" s="303">
        <f t="shared" si="57"/>
        <v>-1.2187229003757238E-10</v>
      </c>
      <c r="D273" s="303">
        <f t="shared" si="48"/>
        <v>0</v>
      </c>
      <c r="E273" s="303">
        <f t="shared" si="49"/>
        <v>0</v>
      </c>
      <c r="F273" s="303">
        <f t="shared" si="50"/>
        <v>0</v>
      </c>
      <c r="G273" s="307">
        <f t="shared" si="51"/>
        <v>-1.2187229003757238E-10</v>
      </c>
      <c r="I273" s="306">
        <f t="shared" si="58"/>
        <v>53267</v>
      </c>
      <c r="J273" s="303">
        <f t="shared" si="59"/>
        <v>2.1282176021486521E-10</v>
      </c>
      <c r="K273" s="303">
        <f t="shared" si="52"/>
        <v>0</v>
      </c>
      <c r="L273" s="303">
        <f t="shared" si="53"/>
        <v>0</v>
      </c>
      <c r="M273" s="303">
        <f t="shared" si="54"/>
        <v>0</v>
      </c>
      <c r="N273" s="307">
        <f t="shared" si="55"/>
        <v>2.1282176021486521E-10</v>
      </c>
    </row>
    <row r="274" spans="2:14" x14ac:dyDescent="0.45">
      <c r="B274" s="306">
        <f t="shared" si="56"/>
        <v>52291</v>
      </c>
      <c r="C274" s="303">
        <f t="shared" si="57"/>
        <v>-1.2187229003757238E-10</v>
      </c>
      <c r="D274" s="303">
        <f t="shared" si="48"/>
        <v>0</v>
      </c>
      <c r="E274" s="303">
        <f t="shared" si="49"/>
        <v>0</v>
      </c>
      <c r="F274" s="303">
        <f t="shared" si="50"/>
        <v>0</v>
      </c>
      <c r="G274" s="307">
        <f t="shared" si="51"/>
        <v>-1.2187229003757238E-10</v>
      </c>
      <c r="I274" s="306">
        <f t="shared" si="58"/>
        <v>53297</v>
      </c>
      <c r="J274" s="303">
        <f t="shared" si="59"/>
        <v>2.1282176021486521E-10</v>
      </c>
      <c r="K274" s="303">
        <f t="shared" si="52"/>
        <v>0</v>
      </c>
      <c r="L274" s="303">
        <f t="shared" si="53"/>
        <v>0</v>
      </c>
      <c r="M274" s="303">
        <f t="shared" si="54"/>
        <v>0</v>
      </c>
      <c r="N274" s="307">
        <f t="shared" si="55"/>
        <v>2.1282176021486521E-10</v>
      </c>
    </row>
    <row r="275" spans="2:14" x14ac:dyDescent="0.45">
      <c r="B275" s="306">
        <f t="shared" si="56"/>
        <v>52322</v>
      </c>
      <c r="C275" s="303">
        <f t="shared" si="57"/>
        <v>-1.2187229003757238E-10</v>
      </c>
      <c r="D275" s="303">
        <f t="shared" si="48"/>
        <v>0</v>
      </c>
      <c r="E275" s="303">
        <f t="shared" si="49"/>
        <v>0</v>
      </c>
      <c r="F275" s="303">
        <f t="shared" si="50"/>
        <v>0</v>
      </c>
      <c r="G275" s="307">
        <f t="shared" si="51"/>
        <v>-1.2187229003757238E-10</v>
      </c>
      <c r="I275" s="306">
        <f t="shared" si="58"/>
        <v>53328</v>
      </c>
      <c r="J275" s="303">
        <f t="shared" si="59"/>
        <v>2.1282176021486521E-10</v>
      </c>
      <c r="K275" s="303">
        <f t="shared" si="52"/>
        <v>0</v>
      </c>
      <c r="L275" s="303">
        <f t="shared" si="53"/>
        <v>0</v>
      </c>
      <c r="M275" s="303">
        <f t="shared" si="54"/>
        <v>0</v>
      </c>
      <c r="N275" s="307">
        <f t="shared" si="55"/>
        <v>2.1282176021486521E-10</v>
      </c>
    </row>
    <row r="276" spans="2:14" x14ac:dyDescent="0.45">
      <c r="B276" s="306">
        <f t="shared" si="56"/>
        <v>52352</v>
      </c>
      <c r="C276" s="303">
        <f t="shared" si="57"/>
        <v>-1.2187229003757238E-10</v>
      </c>
      <c r="D276" s="303">
        <f t="shared" si="48"/>
        <v>0</v>
      </c>
      <c r="E276" s="303">
        <f t="shared" si="49"/>
        <v>0</v>
      </c>
      <c r="F276" s="303">
        <f t="shared" si="50"/>
        <v>0</v>
      </c>
      <c r="G276" s="307">
        <f t="shared" si="51"/>
        <v>-1.2187229003757238E-10</v>
      </c>
      <c r="I276" s="306">
        <f t="shared" si="58"/>
        <v>53359</v>
      </c>
      <c r="J276" s="303">
        <f t="shared" si="59"/>
        <v>2.1282176021486521E-10</v>
      </c>
      <c r="K276" s="303">
        <f t="shared" si="52"/>
        <v>0</v>
      </c>
      <c r="L276" s="303">
        <f t="shared" si="53"/>
        <v>0</v>
      </c>
      <c r="M276" s="303">
        <f t="shared" si="54"/>
        <v>0</v>
      </c>
      <c r="N276" s="307">
        <f t="shared" si="55"/>
        <v>2.1282176021486521E-10</v>
      </c>
    </row>
    <row r="277" spans="2:14" x14ac:dyDescent="0.45">
      <c r="B277" s="306">
        <f t="shared" si="56"/>
        <v>52383</v>
      </c>
      <c r="C277" s="303">
        <f t="shared" si="57"/>
        <v>-1.2187229003757238E-10</v>
      </c>
      <c r="D277" s="303">
        <f t="shared" si="48"/>
        <v>0</v>
      </c>
      <c r="E277" s="303">
        <f t="shared" si="49"/>
        <v>0</v>
      </c>
      <c r="F277" s="303">
        <f t="shared" si="50"/>
        <v>0</v>
      </c>
      <c r="G277" s="307">
        <f t="shared" si="51"/>
        <v>-1.2187229003757238E-10</v>
      </c>
      <c r="I277" s="306">
        <f t="shared" si="58"/>
        <v>53387</v>
      </c>
      <c r="J277" s="303">
        <f t="shared" si="59"/>
        <v>2.1282176021486521E-10</v>
      </c>
      <c r="K277" s="303">
        <f t="shared" si="52"/>
        <v>0</v>
      </c>
      <c r="L277" s="303">
        <f t="shared" si="53"/>
        <v>0</v>
      </c>
      <c r="M277" s="303">
        <f t="shared" si="54"/>
        <v>0</v>
      </c>
      <c r="N277" s="307">
        <f t="shared" si="55"/>
        <v>2.1282176021486521E-10</v>
      </c>
    </row>
    <row r="278" spans="2:14" x14ac:dyDescent="0.45">
      <c r="B278" s="306">
        <f t="shared" si="56"/>
        <v>52413</v>
      </c>
      <c r="C278" s="303">
        <f t="shared" si="57"/>
        <v>-1.2187229003757238E-10</v>
      </c>
      <c r="D278" s="303">
        <f t="shared" si="48"/>
        <v>0</v>
      </c>
      <c r="E278" s="303">
        <f t="shared" si="49"/>
        <v>0</v>
      </c>
      <c r="F278" s="303">
        <f t="shared" si="50"/>
        <v>0</v>
      </c>
      <c r="G278" s="307">
        <f t="shared" si="51"/>
        <v>-1.2187229003757238E-10</v>
      </c>
      <c r="I278" s="306">
        <f t="shared" si="58"/>
        <v>53418</v>
      </c>
      <c r="J278" s="303">
        <f t="shared" si="59"/>
        <v>2.1282176021486521E-10</v>
      </c>
      <c r="K278" s="303">
        <f t="shared" si="52"/>
        <v>0</v>
      </c>
      <c r="L278" s="303">
        <f t="shared" si="53"/>
        <v>0</v>
      </c>
      <c r="M278" s="303">
        <f t="shared" si="54"/>
        <v>0</v>
      </c>
      <c r="N278" s="307">
        <f t="shared" si="55"/>
        <v>2.1282176021486521E-10</v>
      </c>
    </row>
    <row r="279" spans="2:14" x14ac:dyDescent="0.45">
      <c r="B279" s="306">
        <f t="shared" si="56"/>
        <v>52444</v>
      </c>
      <c r="C279" s="303">
        <f t="shared" si="57"/>
        <v>-1.2187229003757238E-10</v>
      </c>
      <c r="D279" s="303">
        <f t="shared" si="48"/>
        <v>0</v>
      </c>
      <c r="E279" s="303">
        <f t="shared" si="49"/>
        <v>0</v>
      </c>
      <c r="F279" s="303">
        <f t="shared" si="50"/>
        <v>0</v>
      </c>
      <c r="G279" s="307">
        <f t="shared" si="51"/>
        <v>-1.2187229003757238E-10</v>
      </c>
      <c r="I279" s="306">
        <f t="shared" si="58"/>
        <v>53448</v>
      </c>
      <c r="J279" s="303">
        <f t="shared" si="59"/>
        <v>2.1282176021486521E-10</v>
      </c>
      <c r="K279" s="303">
        <f t="shared" si="52"/>
        <v>0</v>
      </c>
      <c r="L279" s="303">
        <f t="shared" si="53"/>
        <v>0</v>
      </c>
      <c r="M279" s="303">
        <f t="shared" si="54"/>
        <v>0</v>
      </c>
      <c r="N279" s="307">
        <f t="shared" si="55"/>
        <v>2.1282176021486521E-10</v>
      </c>
    </row>
    <row r="280" spans="2:14" x14ac:dyDescent="0.45">
      <c r="B280" s="306">
        <f t="shared" si="56"/>
        <v>52475</v>
      </c>
      <c r="C280" s="303">
        <f t="shared" si="57"/>
        <v>-1.2187229003757238E-10</v>
      </c>
      <c r="D280" s="303">
        <f t="shared" si="48"/>
        <v>0</v>
      </c>
      <c r="E280" s="303">
        <f t="shared" si="49"/>
        <v>0</v>
      </c>
      <c r="F280" s="303">
        <f t="shared" si="50"/>
        <v>0</v>
      </c>
      <c r="G280" s="307">
        <f t="shared" si="51"/>
        <v>-1.2187229003757238E-10</v>
      </c>
      <c r="I280" s="306">
        <f t="shared" si="58"/>
        <v>53479</v>
      </c>
      <c r="J280" s="303">
        <f t="shared" si="59"/>
        <v>2.1282176021486521E-10</v>
      </c>
      <c r="K280" s="303">
        <f t="shared" si="52"/>
        <v>0</v>
      </c>
      <c r="L280" s="303">
        <f t="shared" si="53"/>
        <v>0</v>
      </c>
      <c r="M280" s="303">
        <f t="shared" si="54"/>
        <v>0</v>
      </c>
      <c r="N280" s="307">
        <f t="shared" si="55"/>
        <v>2.1282176021486521E-10</v>
      </c>
    </row>
    <row r="281" spans="2:14" x14ac:dyDescent="0.45">
      <c r="B281" s="306">
        <f t="shared" si="56"/>
        <v>52505</v>
      </c>
      <c r="C281" s="303">
        <f t="shared" si="57"/>
        <v>-1.2187229003757238E-10</v>
      </c>
      <c r="D281" s="303">
        <f t="shared" si="48"/>
        <v>0</v>
      </c>
      <c r="E281" s="303">
        <f t="shared" si="49"/>
        <v>0</v>
      </c>
      <c r="F281" s="303">
        <f t="shared" si="50"/>
        <v>0</v>
      </c>
      <c r="G281" s="307">
        <f t="shared" si="51"/>
        <v>-1.2187229003757238E-10</v>
      </c>
      <c r="I281" s="306">
        <f t="shared" si="58"/>
        <v>53509</v>
      </c>
      <c r="J281" s="303">
        <f t="shared" si="59"/>
        <v>2.1282176021486521E-10</v>
      </c>
      <c r="K281" s="303">
        <f t="shared" si="52"/>
        <v>0</v>
      </c>
      <c r="L281" s="303">
        <f t="shared" si="53"/>
        <v>0</v>
      </c>
      <c r="M281" s="303">
        <f t="shared" si="54"/>
        <v>0</v>
      </c>
      <c r="N281" s="307">
        <f t="shared" si="55"/>
        <v>2.1282176021486521E-10</v>
      </c>
    </row>
    <row r="282" spans="2:14" x14ac:dyDescent="0.45">
      <c r="B282" s="306">
        <f t="shared" si="56"/>
        <v>52536</v>
      </c>
      <c r="C282" s="303">
        <f t="shared" si="57"/>
        <v>-1.2187229003757238E-10</v>
      </c>
      <c r="D282" s="303">
        <f t="shared" si="48"/>
        <v>0</v>
      </c>
      <c r="E282" s="303">
        <f t="shared" si="49"/>
        <v>0</v>
      </c>
      <c r="F282" s="303">
        <f t="shared" si="50"/>
        <v>0</v>
      </c>
      <c r="G282" s="307">
        <f t="shared" si="51"/>
        <v>-1.2187229003757238E-10</v>
      </c>
      <c r="I282" s="306">
        <f t="shared" si="58"/>
        <v>53540</v>
      </c>
      <c r="J282" s="303">
        <f t="shared" si="59"/>
        <v>2.1282176021486521E-10</v>
      </c>
      <c r="K282" s="303">
        <f t="shared" si="52"/>
        <v>0</v>
      </c>
      <c r="L282" s="303">
        <f t="shared" si="53"/>
        <v>0</v>
      </c>
      <c r="M282" s="303">
        <f t="shared" si="54"/>
        <v>0</v>
      </c>
      <c r="N282" s="307">
        <f t="shared" si="55"/>
        <v>2.1282176021486521E-10</v>
      </c>
    </row>
    <row r="283" spans="2:14" x14ac:dyDescent="0.45">
      <c r="B283" s="306">
        <f t="shared" si="56"/>
        <v>52566</v>
      </c>
      <c r="C283" s="303">
        <f t="shared" si="57"/>
        <v>-1.2187229003757238E-10</v>
      </c>
      <c r="D283" s="303">
        <f t="shared" si="48"/>
        <v>0</v>
      </c>
      <c r="E283" s="303">
        <f t="shared" si="49"/>
        <v>0</v>
      </c>
      <c r="F283" s="303">
        <f t="shared" si="50"/>
        <v>0</v>
      </c>
      <c r="G283" s="307">
        <f t="shared" si="51"/>
        <v>-1.2187229003757238E-10</v>
      </c>
      <c r="I283" s="306">
        <f t="shared" si="58"/>
        <v>53571</v>
      </c>
      <c r="J283" s="303">
        <f t="shared" si="59"/>
        <v>2.1282176021486521E-10</v>
      </c>
      <c r="K283" s="303">
        <f t="shared" si="52"/>
        <v>0</v>
      </c>
      <c r="L283" s="303">
        <f t="shared" si="53"/>
        <v>0</v>
      </c>
      <c r="M283" s="303">
        <f t="shared" si="54"/>
        <v>0</v>
      </c>
      <c r="N283" s="307">
        <f t="shared" si="55"/>
        <v>2.1282176021486521E-10</v>
      </c>
    </row>
    <row r="284" spans="2:14" x14ac:dyDescent="0.45">
      <c r="B284" s="306">
        <f t="shared" si="56"/>
        <v>52597</v>
      </c>
      <c r="C284" s="303">
        <f t="shared" si="57"/>
        <v>-1.2187229003757238E-10</v>
      </c>
      <c r="D284" s="303">
        <f t="shared" si="48"/>
        <v>0</v>
      </c>
      <c r="E284" s="303">
        <f t="shared" si="49"/>
        <v>0</v>
      </c>
      <c r="F284" s="303">
        <f t="shared" si="50"/>
        <v>0</v>
      </c>
      <c r="G284" s="307">
        <f t="shared" si="51"/>
        <v>-1.2187229003757238E-10</v>
      </c>
      <c r="I284" s="306">
        <f t="shared" si="58"/>
        <v>53601</v>
      </c>
      <c r="J284" s="303">
        <f t="shared" si="59"/>
        <v>2.1282176021486521E-10</v>
      </c>
      <c r="K284" s="303">
        <f t="shared" si="52"/>
        <v>0</v>
      </c>
      <c r="L284" s="303">
        <f t="shared" si="53"/>
        <v>0</v>
      </c>
      <c r="M284" s="303">
        <f t="shared" si="54"/>
        <v>0</v>
      </c>
      <c r="N284" s="307">
        <f t="shared" si="55"/>
        <v>2.1282176021486521E-10</v>
      </c>
    </row>
    <row r="285" spans="2:14" x14ac:dyDescent="0.45">
      <c r="B285" s="306">
        <f t="shared" si="56"/>
        <v>52628</v>
      </c>
      <c r="C285" s="303">
        <f t="shared" si="57"/>
        <v>-1.2187229003757238E-10</v>
      </c>
      <c r="D285" s="303">
        <f t="shared" si="48"/>
        <v>0</v>
      </c>
      <c r="E285" s="303">
        <f t="shared" si="49"/>
        <v>0</v>
      </c>
      <c r="F285" s="303">
        <f t="shared" si="50"/>
        <v>0</v>
      </c>
      <c r="G285" s="307">
        <f t="shared" si="51"/>
        <v>-1.2187229003757238E-10</v>
      </c>
      <c r="I285" s="306">
        <f t="shared" si="58"/>
        <v>53632</v>
      </c>
      <c r="J285" s="303">
        <f t="shared" si="59"/>
        <v>2.1282176021486521E-10</v>
      </c>
      <c r="K285" s="303">
        <f t="shared" si="52"/>
        <v>0</v>
      </c>
      <c r="L285" s="303">
        <f t="shared" si="53"/>
        <v>0</v>
      </c>
      <c r="M285" s="303">
        <f t="shared" si="54"/>
        <v>0</v>
      </c>
      <c r="N285" s="307">
        <f t="shared" si="55"/>
        <v>2.1282176021486521E-10</v>
      </c>
    </row>
    <row r="286" spans="2:14" x14ac:dyDescent="0.45">
      <c r="B286" s="306">
        <f t="shared" si="56"/>
        <v>52657</v>
      </c>
      <c r="C286" s="303">
        <f t="shared" si="57"/>
        <v>-1.2187229003757238E-10</v>
      </c>
      <c r="D286" s="303">
        <f t="shared" si="48"/>
        <v>0</v>
      </c>
      <c r="E286" s="303">
        <f t="shared" si="49"/>
        <v>0</v>
      </c>
      <c r="F286" s="303">
        <f t="shared" si="50"/>
        <v>0</v>
      </c>
      <c r="G286" s="307">
        <f t="shared" si="51"/>
        <v>-1.2187229003757238E-10</v>
      </c>
      <c r="I286" s="306">
        <f t="shared" si="58"/>
        <v>53662</v>
      </c>
      <c r="J286" s="303">
        <f t="shared" si="59"/>
        <v>2.1282176021486521E-10</v>
      </c>
      <c r="K286" s="303">
        <f t="shared" si="52"/>
        <v>0</v>
      </c>
      <c r="L286" s="303">
        <f t="shared" si="53"/>
        <v>0</v>
      </c>
      <c r="M286" s="303">
        <f t="shared" si="54"/>
        <v>0</v>
      </c>
      <c r="N286" s="307">
        <f t="shared" si="55"/>
        <v>2.1282176021486521E-10</v>
      </c>
    </row>
    <row r="287" spans="2:14" x14ac:dyDescent="0.45">
      <c r="B287" s="306">
        <f t="shared" si="56"/>
        <v>52688</v>
      </c>
      <c r="C287" s="303">
        <f t="shared" si="57"/>
        <v>-1.2187229003757238E-10</v>
      </c>
      <c r="D287" s="303">
        <f t="shared" si="48"/>
        <v>0</v>
      </c>
      <c r="E287" s="303">
        <f t="shared" si="49"/>
        <v>0</v>
      </c>
      <c r="F287" s="303">
        <f t="shared" si="50"/>
        <v>0</v>
      </c>
      <c r="G287" s="307">
        <f t="shared" si="51"/>
        <v>-1.2187229003757238E-10</v>
      </c>
      <c r="I287" s="306">
        <f t="shared" si="58"/>
        <v>53693</v>
      </c>
      <c r="J287" s="303">
        <f t="shared" si="59"/>
        <v>2.1282176021486521E-10</v>
      </c>
      <c r="K287" s="303">
        <f t="shared" si="52"/>
        <v>0</v>
      </c>
      <c r="L287" s="303">
        <f t="shared" si="53"/>
        <v>0</v>
      </c>
      <c r="M287" s="303">
        <f t="shared" si="54"/>
        <v>0</v>
      </c>
      <c r="N287" s="307">
        <f t="shared" si="55"/>
        <v>2.1282176021486521E-10</v>
      </c>
    </row>
    <row r="288" spans="2:14" x14ac:dyDescent="0.45">
      <c r="B288" s="306">
        <f t="shared" si="56"/>
        <v>52718</v>
      </c>
      <c r="C288" s="303">
        <f t="shared" si="57"/>
        <v>-1.2187229003757238E-10</v>
      </c>
      <c r="D288" s="303">
        <f t="shared" si="48"/>
        <v>0</v>
      </c>
      <c r="E288" s="303">
        <f t="shared" si="49"/>
        <v>0</v>
      </c>
      <c r="F288" s="303">
        <f t="shared" si="50"/>
        <v>0</v>
      </c>
      <c r="G288" s="307">
        <f t="shared" si="51"/>
        <v>-1.2187229003757238E-10</v>
      </c>
      <c r="I288" s="306">
        <f t="shared" si="58"/>
        <v>53724</v>
      </c>
      <c r="J288" s="303">
        <f t="shared" si="59"/>
        <v>2.1282176021486521E-10</v>
      </c>
      <c r="K288" s="303">
        <f t="shared" si="52"/>
        <v>0</v>
      </c>
      <c r="L288" s="303">
        <f t="shared" si="53"/>
        <v>0</v>
      </c>
      <c r="M288" s="303">
        <f t="shared" si="54"/>
        <v>0</v>
      </c>
      <c r="N288" s="307">
        <f t="shared" si="55"/>
        <v>2.1282176021486521E-10</v>
      </c>
    </row>
    <row r="289" spans="2:14" x14ac:dyDescent="0.45">
      <c r="B289" s="306">
        <f t="shared" si="56"/>
        <v>52749</v>
      </c>
      <c r="C289" s="303">
        <f t="shared" si="57"/>
        <v>-1.2187229003757238E-10</v>
      </c>
      <c r="D289" s="303">
        <f t="shared" si="48"/>
        <v>0</v>
      </c>
      <c r="E289" s="303">
        <f t="shared" si="49"/>
        <v>0</v>
      </c>
      <c r="F289" s="303">
        <f t="shared" si="50"/>
        <v>0</v>
      </c>
      <c r="G289" s="307">
        <f t="shared" si="51"/>
        <v>-1.2187229003757238E-10</v>
      </c>
      <c r="I289" s="306">
        <f t="shared" si="58"/>
        <v>53752</v>
      </c>
      <c r="J289" s="303">
        <f t="shared" si="59"/>
        <v>2.1282176021486521E-10</v>
      </c>
      <c r="K289" s="303">
        <f t="shared" si="52"/>
        <v>0</v>
      </c>
      <c r="L289" s="303">
        <f t="shared" si="53"/>
        <v>0</v>
      </c>
      <c r="M289" s="303">
        <f t="shared" si="54"/>
        <v>0</v>
      </c>
      <c r="N289" s="307">
        <f t="shared" si="55"/>
        <v>2.1282176021486521E-10</v>
      </c>
    </row>
    <row r="290" spans="2:14" x14ac:dyDescent="0.45">
      <c r="B290" s="306">
        <f t="shared" si="56"/>
        <v>52779</v>
      </c>
      <c r="C290" s="303">
        <f t="shared" si="57"/>
        <v>-1.2187229003757238E-10</v>
      </c>
      <c r="D290" s="303">
        <f t="shared" si="48"/>
        <v>0</v>
      </c>
      <c r="E290" s="303">
        <f t="shared" si="49"/>
        <v>0</v>
      </c>
      <c r="F290" s="303">
        <f t="shared" si="50"/>
        <v>0</v>
      </c>
      <c r="G290" s="307">
        <f t="shared" si="51"/>
        <v>-1.2187229003757238E-10</v>
      </c>
      <c r="I290" s="306">
        <f t="shared" si="58"/>
        <v>53783</v>
      </c>
      <c r="J290" s="303">
        <f t="shared" si="59"/>
        <v>2.1282176021486521E-10</v>
      </c>
      <c r="K290" s="303">
        <f t="shared" si="52"/>
        <v>0</v>
      </c>
      <c r="L290" s="303">
        <f t="shared" si="53"/>
        <v>0</v>
      </c>
      <c r="M290" s="303">
        <f t="shared" si="54"/>
        <v>0</v>
      </c>
      <c r="N290" s="307">
        <f t="shared" si="55"/>
        <v>2.1282176021486521E-10</v>
      </c>
    </row>
    <row r="291" spans="2:14" x14ac:dyDescent="0.45">
      <c r="B291" s="306">
        <f t="shared" si="56"/>
        <v>52810</v>
      </c>
      <c r="C291" s="303">
        <f t="shared" si="57"/>
        <v>-1.2187229003757238E-10</v>
      </c>
      <c r="D291" s="303">
        <f t="shared" si="48"/>
        <v>0</v>
      </c>
      <c r="E291" s="303">
        <f t="shared" si="49"/>
        <v>0</v>
      </c>
      <c r="F291" s="303">
        <f t="shared" si="50"/>
        <v>0</v>
      </c>
      <c r="G291" s="307">
        <f t="shared" si="51"/>
        <v>-1.2187229003757238E-10</v>
      </c>
      <c r="I291" s="306">
        <f t="shared" si="58"/>
        <v>53813</v>
      </c>
      <c r="J291" s="303">
        <f t="shared" si="59"/>
        <v>2.1282176021486521E-10</v>
      </c>
      <c r="K291" s="303">
        <f t="shared" si="52"/>
        <v>0</v>
      </c>
      <c r="L291" s="303">
        <f t="shared" si="53"/>
        <v>0</v>
      </c>
      <c r="M291" s="303">
        <f t="shared" si="54"/>
        <v>0</v>
      </c>
      <c r="N291" s="307">
        <f t="shared" si="55"/>
        <v>2.1282176021486521E-10</v>
      </c>
    </row>
    <row r="292" spans="2:14" x14ac:dyDescent="0.45">
      <c r="B292" s="306">
        <f t="shared" si="56"/>
        <v>52841</v>
      </c>
      <c r="C292" s="303">
        <f t="shared" si="57"/>
        <v>-1.2187229003757238E-10</v>
      </c>
      <c r="D292" s="303">
        <f t="shared" si="48"/>
        <v>0</v>
      </c>
      <c r="E292" s="303">
        <f t="shared" si="49"/>
        <v>0</v>
      </c>
      <c r="F292" s="303">
        <f t="shared" si="50"/>
        <v>0</v>
      </c>
      <c r="G292" s="307">
        <f t="shared" si="51"/>
        <v>-1.2187229003757238E-10</v>
      </c>
      <c r="I292" s="306">
        <f t="shared" si="58"/>
        <v>53844</v>
      </c>
      <c r="J292" s="303">
        <f t="shared" si="59"/>
        <v>2.1282176021486521E-10</v>
      </c>
      <c r="K292" s="303">
        <f t="shared" si="52"/>
        <v>0</v>
      </c>
      <c r="L292" s="303">
        <f t="shared" si="53"/>
        <v>0</v>
      </c>
      <c r="M292" s="303">
        <f t="shared" si="54"/>
        <v>0</v>
      </c>
      <c r="N292" s="307">
        <f t="shared" si="55"/>
        <v>2.1282176021486521E-10</v>
      </c>
    </row>
    <row r="293" spans="2:14" x14ac:dyDescent="0.45">
      <c r="B293" s="306">
        <f t="shared" si="56"/>
        <v>52871</v>
      </c>
      <c r="C293" s="303">
        <f t="shared" si="57"/>
        <v>-1.2187229003757238E-10</v>
      </c>
      <c r="D293" s="303">
        <f t="shared" si="48"/>
        <v>0</v>
      </c>
      <c r="E293" s="303">
        <f t="shared" si="49"/>
        <v>0</v>
      </c>
      <c r="F293" s="303">
        <f t="shared" si="50"/>
        <v>0</v>
      </c>
      <c r="G293" s="307">
        <f t="shared" si="51"/>
        <v>-1.2187229003757238E-10</v>
      </c>
      <c r="I293" s="306">
        <f t="shared" si="58"/>
        <v>53874</v>
      </c>
      <c r="J293" s="303">
        <f t="shared" si="59"/>
        <v>2.1282176021486521E-10</v>
      </c>
      <c r="K293" s="303">
        <f t="shared" si="52"/>
        <v>0</v>
      </c>
      <c r="L293" s="303">
        <f t="shared" si="53"/>
        <v>0</v>
      </c>
      <c r="M293" s="303">
        <f t="shared" si="54"/>
        <v>0</v>
      </c>
      <c r="N293" s="307">
        <f t="shared" si="55"/>
        <v>2.1282176021486521E-10</v>
      </c>
    </row>
    <row r="294" spans="2:14" x14ac:dyDescent="0.45">
      <c r="B294" s="306">
        <f t="shared" si="56"/>
        <v>52902</v>
      </c>
      <c r="C294" s="303">
        <f t="shared" si="57"/>
        <v>-1.2187229003757238E-10</v>
      </c>
      <c r="D294" s="303">
        <f t="shared" si="48"/>
        <v>0</v>
      </c>
      <c r="E294" s="303">
        <f t="shared" si="49"/>
        <v>0</v>
      </c>
      <c r="F294" s="303">
        <f t="shared" si="50"/>
        <v>0</v>
      </c>
      <c r="G294" s="307">
        <f t="shared" si="51"/>
        <v>-1.2187229003757238E-10</v>
      </c>
      <c r="I294" s="306">
        <f t="shared" si="58"/>
        <v>53905</v>
      </c>
      <c r="J294" s="303">
        <f t="shared" si="59"/>
        <v>2.1282176021486521E-10</v>
      </c>
      <c r="K294" s="303">
        <f t="shared" si="52"/>
        <v>0</v>
      </c>
      <c r="L294" s="303">
        <f t="shared" si="53"/>
        <v>0</v>
      </c>
      <c r="M294" s="303">
        <f t="shared" si="54"/>
        <v>0</v>
      </c>
      <c r="N294" s="307">
        <f t="shared" si="55"/>
        <v>2.1282176021486521E-10</v>
      </c>
    </row>
    <row r="295" spans="2:14" x14ac:dyDescent="0.45">
      <c r="B295" s="306">
        <f t="shared" si="56"/>
        <v>52932</v>
      </c>
      <c r="C295" s="303">
        <f t="shared" si="57"/>
        <v>-1.2187229003757238E-10</v>
      </c>
      <c r="D295" s="303">
        <f t="shared" si="48"/>
        <v>0</v>
      </c>
      <c r="E295" s="303">
        <f t="shared" si="49"/>
        <v>0</v>
      </c>
      <c r="F295" s="303">
        <f t="shared" si="50"/>
        <v>0</v>
      </c>
      <c r="G295" s="307">
        <f t="shared" si="51"/>
        <v>-1.2187229003757238E-10</v>
      </c>
      <c r="I295" s="306">
        <f t="shared" si="58"/>
        <v>53936</v>
      </c>
      <c r="J295" s="303">
        <f t="shared" si="59"/>
        <v>2.1282176021486521E-10</v>
      </c>
      <c r="K295" s="303">
        <f t="shared" si="52"/>
        <v>0</v>
      </c>
      <c r="L295" s="303">
        <f t="shared" si="53"/>
        <v>0</v>
      </c>
      <c r="M295" s="303">
        <f t="shared" si="54"/>
        <v>0</v>
      </c>
      <c r="N295" s="307">
        <f t="shared" si="55"/>
        <v>2.1282176021486521E-10</v>
      </c>
    </row>
    <row r="296" spans="2:14" x14ac:dyDescent="0.45">
      <c r="B296" s="306">
        <f t="shared" si="56"/>
        <v>52963</v>
      </c>
      <c r="C296" s="303">
        <f t="shared" si="57"/>
        <v>-1.2187229003757238E-10</v>
      </c>
      <c r="D296" s="303">
        <f t="shared" si="48"/>
        <v>0</v>
      </c>
      <c r="E296" s="303">
        <f t="shared" si="49"/>
        <v>0</v>
      </c>
      <c r="F296" s="303">
        <f t="shared" si="50"/>
        <v>0</v>
      </c>
      <c r="G296" s="307">
        <f t="shared" si="51"/>
        <v>-1.2187229003757238E-10</v>
      </c>
      <c r="I296" s="306">
        <f t="shared" si="58"/>
        <v>53966</v>
      </c>
      <c r="J296" s="303">
        <f t="shared" si="59"/>
        <v>2.1282176021486521E-10</v>
      </c>
      <c r="K296" s="303">
        <f t="shared" si="52"/>
        <v>0</v>
      </c>
      <c r="L296" s="303">
        <f t="shared" si="53"/>
        <v>0</v>
      </c>
      <c r="M296" s="303">
        <f t="shared" si="54"/>
        <v>0</v>
      </c>
      <c r="N296" s="307">
        <f t="shared" si="55"/>
        <v>2.1282176021486521E-10</v>
      </c>
    </row>
    <row r="297" spans="2:14" x14ac:dyDescent="0.45">
      <c r="B297" s="306">
        <f t="shared" si="56"/>
        <v>52994</v>
      </c>
      <c r="C297" s="303">
        <f t="shared" si="57"/>
        <v>-1.2187229003757238E-10</v>
      </c>
      <c r="D297" s="303">
        <f t="shared" si="48"/>
        <v>0</v>
      </c>
      <c r="E297" s="303">
        <f t="shared" si="49"/>
        <v>0</v>
      </c>
      <c r="F297" s="303">
        <f t="shared" si="50"/>
        <v>0</v>
      </c>
      <c r="G297" s="307">
        <f t="shared" si="51"/>
        <v>-1.2187229003757238E-10</v>
      </c>
      <c r="I297" s="306">
        <f t="shared" si="58"/>
        <v>53997</v>
      </c>
      <c r="J297" s="303">
        <f t="shared" si="59"/>
        <v>2.1282176021486521E-10</v>
      </c>
      <c r="K297" s="303">
        <f t="shared" si="52"/>
        <v>0</v>
      </c>
      <c r="L297" s="303">
        <f t="shared" si="53"/>
        <v>0</v>
      </c>
      <c r="M297" s="303">
        <f t="shared" si="54"/>
        <v>0</v>
      </c>
      <c r="N297" s="307">
        <f t="shared" si="55"/>
        <v>2.1282176021486521E-10</v>
      </c>
    </row>
    <row r="298" spans="2:14" x14ac:dyDescent="0.45">
      <c r="B298" s="306">
        <f t="shared" si="56"/>
        <v>53022</v>
      </c>
      <c r="C298" s="303">
        <f t="shared" si="57"/>
        <v>-1.2187229003757238E-10</v>
      </c>
      <c r="D298" s="303">
        <f t="shared" si="48"/>
        <v>0</v>
      </c>
      <c r="E298" s="303">
        <f t="shared" si="49"/>
        <v>0</v>
      </c>
      <c r="F298" s="303">
        <f t="shared" si="50"/>
        <v>0</v>
      </c>
      <c r="G298" s="307">
        <f t="shared" si="51"/>
        <v>-1.2187229003757238E-10</v>
      </c>
      <c r="I298" s="306">
        <f t="shared" si="58"/>
        <v>54027</v>
      </c>
      <c r="J298" s="303">
        <f t="shared" si="59"/>
        <v>2.1282176021486521E-10</v>
      </c>
      <c r="K298" s="303">
        <f t="shared" si="52"/>
        <v>0</v>
      </c>
      <c r="L298" s="303">
        <f t="shared" si="53"/>
        <v>0</v>
      </c>
      <c r="M298" s="303">
        <f t="shared" si="54"/>
        <v>0</v>
      </c>
      <c r="N298" s="307">
        <f t="shared" si="55"/>
        <v>2.1282176021486521E-10</v>
      </c>
    </row>
    <row r="299" spans="2:14" x14ac:dyDescent="0.45">
      <c r="B299" s="306">
        <f t="shared" si="56"/>
        <v>53053</v>
      </c>
      <c r="C299" s="303">
        <f t="shared" si="57"/>
        <v>-1.2187229003757238E-10</v>
      </c>
      <c r="D299" s="303">
        <f t="shared" si="48"/>
        <v>0</v>
      </c>
      <c r="E299" s="303">
        <f t="shared" si="49"/>
        <v>0</v>
      </c>
      <c r="F299" s="303">
        <f t="shared" si="50"/>
        <v>0</v>
      </c>
      <c r="G299" s="307">
        <f t="shared" si="51"/>
        <v>-1.2187229003757238E-10</v>
      </c>
      <c r="I299" s="306">
        <f t="shared" si="58"/>
        <v>54058</v>
      </c>
      <c r="J299" s="303">
        <f t="shared" si="59"/>
        <v>2.1282176021486521E-10</v>
      </c>
      <c r="K299" s="303">
        <f t="shared" si="52"/>
        <v>0</v>
      </c>
      <c r="L299" s="303">
        <f t="shared" si="53"/>
        <v>0</v>
      </c>
      <c r="M299" s="303">
        <f t="shared" si="54"/>
        <v>0</v>
      </c>
      <c r="N299" s="307">
        <f t="shared" si="55"/>
        <v>2.1282176021486521E-10</v>
      </c>
    </row>
    <row r="300" spans="2:14" x14ac:dyDescent="0.45">
      <c r="B300" s="306">
        <f t="shared" si="56"/>
        <v>53083</v>
      </c>
      <c r="C300" s="303">
        <f t="shared" si="57"/>
        <v>-1.2187229003757238E-10</v>
      </c>
      <c r="D300" s="303">
        <f t="shared" si="48"/>
        <v>0</v>
      </c>
      <c r="E300" s="303">
        <f t="shared" si="49"/>
        <v>0</v>
      </c>
      <c r="F300" s="303">
        <f t="shared" si="50"/>
        <v>0</v>
      </c>
      <c r="G300" s="307">
        <f t="shared" si="51"/>
        <v>-1.2187229003757238E-10</v>
      </c>
      <c r="I300" s="306">
        <f t="shared" si="58"/>
        <v>54089</v>
      </c>
      <c r="J300" s="303">
        <f t="shared" si="59"/>
        <v>2.1282176021486521E-10</v>
      </c>
      <c r="K300" s="303">
        <f t="shared" si="52"/>
        <v>0</v>
      </c>
      <c r="L300" s="303">
        <f t="shared" si="53"/>
        <v>0</v>
      </c>
      <c r="M300" s="303">
        <f t="shared" si="54"/>
        <v>0</v>
      </c>
      <c r="N300" s="307">
        <f t="shared" si="55"/>
        <v>2.1282176021486521E-10</v>
      </c>
    </row>
    <row r="301" spans="2:14" x14ac:dyDescent="0.45">
      <c r="B301" s="306">
        <f t="shared" si="56"/>
        <v>53114</v>
      </c>
      <c r="C301" s="303">
        <f t="shared" si="57"/>
        <v>-1.2187229003757238E-10</v>
      </c>
      <c r="D301" s="303">
        <f t="shared" si="48"/>
        <v>0</v>
      </c>
      <c r="E301" s="303">
        <f t="shared" si="49"/>
        <v>0</v>
      </c>
      <c r="F301" s="303">
        <f t="shared" si="50"/>
        <v>0</v>
      </c>
      <c r="G301" s="307">
        <f t="shared" si="51"/>
        <v>-1.2187229003757238E-10</v>
      </c>
      <c r="I301" s="306">
        <f t="shared" si="58"/>
        <v>54118</v>
      </c>
      <c r="J301" s="303">
        <f t="shared" si="59"/>
        <v>2.1282176021486521E-10</v>
      </c>
      <c r="K301" s="303">
        <f t="shared" si="52"/>
        <v>0</v>
      </c>
      <c r="L301" s="303">
        <f t="shared" si="53"/>
        <v>0</v>
      </c>
      <c r="M301" s="303">
        <f t="shared" si="54"/>
        <v>0</v>
      </c>
      <c r="N301" s="307">
        <f t="shared" si="55"/>
        <v>2.1282176021486521E-10</v>
      </c>
    </row>
    <row r="302" spans="2:14" x14ac:dyDescent="0.45">
      <c r="B302" s="306">
        <f t="shared" si="56"/>
        <v>53144</v>
      </c>
      <c r="C302" s="303">
        <f t="shared" si="57"/>
        <v>-1.2187229003757238E-10</v>
      </c>
      <c r="D302" s="303">
        <f t="shared" si="48"/>
        <v>0</v>
      </c>
      <c r="E302" s="303">
        <f t="shared" si="49"/>
        <v>0</v>
      </c>
      <c r="F302" s="303">
        <f t="shared" si="50"/>
        <v>0</v>
      </c>
      <c r="G302" s="307">
        <f t="shared" si="51"/>
        <v>-1.2187229003757238E-10</v>
      </c>
      <c r="I302" s="306">
        <f t="shared" si="58"/>
        <v>54149</v>
      </c>
      <c r="J302" s="303">
        <f t="shared" si="59"/>
        <v>2.1282176021486521E-10</v>
      </c>
      <c r="K302" s="303">
        <f t="shared" si="52"/>
        <v>0</v>
      </c>
      <c r="L302" s="303">
        <f t="shared" si="53"/>
        <v>0</v>
      </c>
      <c r="M302" s="303">
        <f t="shared" si="54"/>
        <v>0</v>
      </c>
      <c r="N302" s="307">
        <f t="shared" si="55"/>
        <v>2.1282176021486521E-10</v>
      </c>
    </row>
    <row r="303" spans="2:14" x14ac:dyDescent="0.45">
      <c r="B303" s="306">
        <f t="shared" si="56"/>
        <v>53175</v>
      </c>
      <c r="C303" s="303">
        <f t="shared" si="57"/>
        <v>-1.2187229003757238E-10</v>
      </c>
      <c r="D303" s="303">
        <f t="shared" si="48"/>
        <v>0</v>
      </c>
      <c r="E303" s="303">
        <f t="shared" si="49"/>
        <v>0</v>
      </c>
      <c r="F303" s="303">
        <f t="shared" si="50"/>
        <v>0</v>
      </c>
      <c r="G303" s="307">
        <f t="shared" si="51"/>
        <v>-1.2187229003757238E-10</v>
      </c>
      <c r="I303" s="306">
        <f t="shared" si="58"/>
        <v>54179</v>
      </c>
      <c r="J303" s="303">
        <f t="shared" si="59"/>
        <v>2.1282176021486521E-10</v>
      </c>
      <c r="K303" s="303">
        <f t="shared" si="52"/>
        <v>0</v>
      </c>
      <c r="L303" s="303">
        <f t="shared" si="53"/>
        <v>0</v>
      </c>
      <c r="M303" s="303">
        <f t="shared" si="54"/>
        <v>0</v>
      </c>
      <c r="N303" s="307">
        <f t="shared" si="55"/>
        <v>2.1282176021486521E-10</v>
      </c>
    </row>
    <row r="304" spans="2:14" x14ac:dyDescent="0.45">
      <c r="B304" s="306">
        <f t="shared" si="56"/>
        <v>53206</v>
      </c>
      <c r="C304" s="303">
        <f t="shared" si="57"/>
        <v>-1.2187229003757238E-10</v>
      </c>
      <c r="D304" s="303">
        <f t="shared" si="48"/>
        <v>0</v>
      </c>
      <c r="E304" s="303">
        <f t="shared" si="49"/>
        <v>0</v>
      </c>
      <c r="F304" s="303">
        <f t="shared" si="50"/>
        <v>0</v>
      </c>
      <c r="G304" s="307">
        <f t="shared" si="51"/>
        <v>-1.2187229003757238E-10</v>
      </c>
      <c r="I304" s="306">
        <f t="shared" si="58"/>
        <v>54210</v>
      </c>
      <c r="J304" s="303">
        <f t="shared" si="59"/>
        <v>2.1282176021486521E-10</v>
      </c>
      <c r="K304" s="303">
        <f t="shared" si="52"/>
        <v>0</v>
      </c>
      <c r="L304" s="303">
        <f t="shared" si="53"/>
        <v>0</v>
      </c>
      <c r="M304" s="303">
        <f t="shared" si="54"/>
        <v>0</v>
      </c>
      <c r="N304" s="307">
        <f t="shared" si="55"/>
        <v>2.1282176021486521E-10</v>
      </c>
    </row>
    <row r="305" spans="2:14" x14ac:dyDescent="0.45">
      <c r="B305" s="306">
        <f t="shared" si="56"/>
        <v>53236</v>
      </c>
      <c r="C305" s="303">
        <f t="shared" si="57"/>
        <v>-1.2187229003757238E-10</v>
      </c>
      <c r="D305" s="303">
        <f t="shared" si="48"/>
        <v>0</v>
      </c>
      <c r="E305" s="303">
        <f t="shared" si="49"/>
        <v>0</v>
      </c>
      <c r="F305" s="303">
        <f t="shared" si="50"/>
        <v>0</v>
      </c>
      <c r="G305" s="307">
        <f t="shared" si="51"/>
        <v>-1.2187229003757238E-10</v>
      </c>
      <c r="I305" s="306">
        <f t="shared" si="58"/>
        <v>54240</v>
      </c>
      <c r="J305" s="303">
        <f t="shared" si="59"/>
        <v>2.1282176021486521E-10</v>
      </c>
      <c r="K305" s="303">
        <f t="shared" si="52"/>
        <v>0</v>
      </c>
      <c r="L305" s="303">
        <f t="shared" si="53"/>
        <v>0</v>
      </c>
      <c r="M305" s="303">
        <f t="shared" si="54"/>
        <v>0</v>
      </c>
      <c r="N305" s="307">
        <f t="shared" si="55"/>
        <v>2.1282176021486521E-10</v>
      </c>
    </row>
    <row r="306" spans="2:14" x14ac:dyDescent="0.45">
      <c r="B306" s="306">
        <f t="shared" si="56"/>
        <v>53267</v>
      </c>
      <c r="C306" s="303">
        <f t="shared" si="57"/>
        <v>-1.2187229003757238E-10</v>
      </c>
      <c r="D306" s="303">
        <f t="shared" si="48"/>
        <v>0</v>
      </c>
      <c r="E306" s="303">
        <f t="shared" si="49"/>
        <v>0</v>
      </c>
      <c r="F306" s="303">
        <f t="shared" si="50"/>
        <v>0</v>
      </c>
      <c r="G306" s="307">
        <f t="shared" si="51"/>
        <v>-1.2187229003757238E-10</v>
      </c>
      <c r="I306" s="306">
        <f t="shared" si="58"/>
        <v>54271</v>
      </c>
      <c r="J306" s="303">
        <f t="shared" si="59"/>
        <v>2.1282176021486521E-10</v>
      </c>
      <c r="K306" s="303">
        <f t="shared" si="52"/>
        <v>0</v>
      </c>
      <c r="L306" s="303">
        <f t="shared" si="53"/>
        <v>0</v>
      </c>
      <c r="M306" s="303">
        <f t="shared" si="54"/>
        <v>0</v>
      </c>
      <c r="N306" s="307">
        <f t="shared" si="55"/>
        <v>2.1282176021486521E-10</v>
      </c>
    </row>
    <row r="307" spans="2:14" x14ac:dyDescent="0.45">
      <c r="B307" s="306">
        <f t="shared" si="56"/>
        <v>53297</v>
      </c>
      <c r="C307" s="303">
        <f t="shared" si="57"/>
        <v>-1.2187229003757238E-10</v>
      </c>
      <c r="D307" s="303">
        <f t="shared" si="48"/>
        <v>0</v>
      </c>
      <c r="E307" s="303">
        <f t="shared" si="49"/>
        <v>0</v>
      </c>
      <c r="F307" s="303">
        <f t="shared" si="50"/>
        <v>0</v>
      </c>
      <c r="G307" s="307">
        <f t="shared" si="51"/>
        <v>-1.2187229003757238E-10</v>
      </c>
      <c r="I307" s="306">
        <f t="shared" si="58"/>
        <v>54302</v>
      </c>
      <c r="J307" s="303">
        <f t="shared" si="59"/>
        <v>2.1282176021486521E-10</v>
      </c>
      <c r="K307" s="303">
        <f t="shared" si="52"/>
        <v>0</v>
      </c>
      <c r="L307" s="303">
        <f t="shared" si="53"/>
        <v>0</v>
      </c>
      <c r="M307" s="303">
        <f t="shared" si="54"/>
        <v>0</v>
      </c>
      <c r="N307" s="307">
        <f t="shared" si="55"/>
        <v>2.1282176021486521E-10</v>
      </c>
    </row>
    <row r="308" spans="2:14" x14ac:dyDescent="0.45">
      <c r="B308" s="306">
        <f t="shared" si="56"/>
        <v>53328</v>
      </c>
      <c r="C308" s="303">
        <f t="shared" si="57"/>
        <v>-1.2187229003757238E-10</v>
      </c>
      <c r="D308" s="303">
        <f t="shared" si="48"/>
        <v>0</v>
      </c>
      <c r="E308" s="303">
        <f t="shared" si="49"/>
        <v>0</v>
      </c>
      <c r="F308" s="303">
        <f t="shared" si="50"/>
        <v>0</v>
      </c>
      <c r="G308" s="307">
        <f t="shared" si="51"/>
        <v>-1.2187229003757238E-10</v>
      </c>
      <c r="I308" s="306">
        <f t="shared" si="58"/>
        <v>54332</v>
      </c>
      <c r="J308" s="303">
        <f t="shared" si="59"/>
        <v>2.1282176021486521E-10</v>
      </c>
      <c r="K308" s="303">
        <f t="shared" si="52"/>
        <v>0</v>
      </c>
      <c r="L308" s="303">
        <f t="shared" si="53"/>
        <v>0</v>
      </c>
      <c r="M308" s="303">
        <f t="shared" si="54"/>
        <v>0</v>
      </c>
      <c r="N308" s="307">
        <f t="shared" si="55"/>
        <v>2.1282176021486521E-10</v>
      </c>
    </row>
    <row r="309" spans="2:14" x14ac:dyDescent="0.45">
      <c r="B309" s="306">
        <f t="shared" si="56"/>
        <v>53359</v>
      </c>
      <c r="C309" s="303">
        <f t="shared" si="57"/>
        <v>-1.2187229003757238E-10</v>
      </c>
      <c r="D309" s="303">
        <f t="shared" si="48"/>
        <v>0</v>
      </c>
      <c r="E309" s="303">
        <f t="shared" si="49"/>
        <v>0</v>
      </c>
      <c r="F309" s="303">
        <f t="shared" si="50"/>
        <v>0</v>
      </c>
      <c r="G309" s="307">
        <f t="shared" si="51"/>
        <v>-1.2187229003757238E-10</v>
      </c>
      <c r="I309" s="306">
        <f t="shared" si="58"/>
        <v>54363</v>
      </c>
      <c r="J309" s="303">
        <f t="shared" si="59"/>
        <v>2.1282176021486521E-10</v>
      </c>
      <c r="K309" s="303">
        <f t="shared" si="52"/>
        <v>0</v>
      </c>
      <c r="L309" s="303">
        <f t="shared" si="53"/>
        <v>0</v>
      </c>
      <c r="M309" s="303">
        <f t="shared" si="54"/>
        <v>0</v>
      </c>
      <c r="N309" s="307">
        <f t="shared" si="55"/>
        <v>2.1282176021486521E-10</v>
      </c>
    </row>
    <row r="310" spans="2:14" x14ac:dyDescent="0.45">
      <c r="B310" s="306">
        <f t="shared" si="56"/>
        <v>53387</v>
      </c>
      <c r="C310" s="303">
        <f t="shared" si="57"/>
        <v>-1.2187229003757238E-10</v>
      </c>
      <c r="D310" s="303">
        <f t="shared" si="48"/>
        <v>0</v>
      </c>
      <c r="E310" s="303">
        <f t="shared" si="49"/>
        <v>0</v>
      </c>
      <c r="F310" s="303">
        <f t="shared" si="50"/>
        <v>0</v>
      </c>
      <c r="G310" s="307">
        <f t="shared" si="51"/>
        <v>-1.2187229003757238E-10</v>
      </c>
      <c r="I310" s="306">
        <f t="shared" si="58"/>
        <v>54393</v>
      </c>
      <c r="J310" s="303">
        <f t="shared" si="59"/>
        <v>2.1282176021486521E-10</v>
      </c>
      <c r="K310" s="303">
        <f t="shared" si="52"/>
        <v>0</v>
      </c>
      <c r="L310" s="303">
        <f t="shared" si="53"/>
        <v>0</v>
      </c>
      <c r="M310" s="303">
        <f t="shared" si="54"/>
        <v>0</v>
      </c>
      <c r="N310" s="307">
        <f t="shared" si="55"/>
        <v>2.1282176021486521E-10</v>
      </c>
    </row>
    <row r="311" spans="2:14" x14ac:dyDescent="0.45">
      <c r="B311" s="306">
        <f t="shared" si="56"/>
        <v>53418</v>
      </c>
      <c r="C311" s="303">
        <f t="shared" si="57"/>
        <v>-1.2187229003757238E-10</v>
      </c>
      <c r="D311" s="303">
        <f t="shared" si="48"/>
        <v>0</v>
      </c>
      <c r="E311" s="303">
        <f t="shared" si="49"/>
        <v>0</v>
      </c>
      <c r="F311" s="303">
        <f t="shared" si="50"/>
        <v>0</v>
      </c>
      <c r="G311" s="307">
        <f t="shared" si="51"/>
        <v>-1.2187229003757238E-10</v>
      </c>
      <c r="I311" s="306">
        <f t="shared" si="58"/>
        <v>54424</v>
      </c>
      <c r="J311" s="303">
        <f t="shared" si="59"/>
        <v>2.1282176021486521E-10</v>
      </c>
      <c r="K311" s="303">
        <f t="shared" si="52"/>
        <v>0</v>
      </c>
      <c r="L311" s="303">
        <f t="shared" si="53"/>
        <v>0</v>
      </c>
      <c r="M311" s="303">
        <f t="shared" si="54"/>
        <v>0</v>
      </c>
      <c r="N311" s="307">
        <f t="shared" si="55"/>
        <v>2.1282176021486521E-10</v>
      </c>
    </row>
    <row r="312" spans="2:14" x14ac:dyDescent="0.45">
      <c r="B312" s="306">
        <f t="shared" si="56"/>
        <v>53448</v>
      </c>
      <c r="C312" s="303">
        <f t="shared" si="57"/>
        <v>-1.2187229003757238E-10</v>
      </c>
      <c r="D312" s="303">
        <f t="shared" si="48"/>
        <v>0</v>
      </c>
      <c r="E312" s="303">
        <f t="shared" si="49"/>
        <v>0</v>
      </c>
      <c r="F312" s="303">
        <f t="shared" si="50"/>
        <v>0</v>
      </c>
      <c r="G312" s="307">
        <f t="shared" si="51"/>
        <v>-1.2187229003757238E-10</v>
      </c>
      <c r="I312" s="306">
        <f t="shared" si="58"/>
        <v>54455</v>
      </c>
      <c r="J312" s="303">
        <f t="shared" si="59"/>
        <v>2.1282176021486521E-10</v>
      </c>
      <c r="K312" s="303">
        <f t="shared" si="52"/>
        <v>0</v>
      </c>
      <c r="L312" s="303">
        <f t="shared" si="53"/>
        <v>0</v>
      </c>
      <c r="M312" s="303">
        <f t="shared" si="54"/>
        <v>0</v>
      </c>
      <c r="N312" s="307">
        <f t="shared" si="55"/>
        <v>2.1282176021486521E-10</v>
      </c>
    </row>
    <row r="313" spans="2:14" x14ac:dyDescent="0.45">
      <c r="B313" s="306">
        <f t="shared" si="56"/>
        <v>53479</v>
      </c>
      <c r="C313" s="303">
        <f t="shared" si="57"/>
        <v>-1.2187229003757238E-10</v>
      </c>
      <c r="D313" s="303">
        <f t="shared" si="48"/>
        <v>0</v>
      </c>
      <c r="E313" s="303">
        <f t="shared" si="49"/>
        <v>0</v>
      </c>
      <c r="F313" s="303">
        <f t="shared" si="50"/>
        <v>0</v>
      </c>
      <c r="G313" s="307">
        <f t="shared" si="51"/>
        <v>-1.2187229003757238E-10</v>
      </c>
      <c r="I313" s="306">
        <f t="shared" si="58"/>
        <v>54483</v>
      </c>
      <c r="J313" s="303">
        <f t="shared" si="59"/>
        <v>2.1282176021486521E-10</v>
      </c>
      <c r="K313" s="303">
        <f t="shared" si="52"/>
        <v>0</v>
      </c>
      <c r="L313" s="303">
        <f t="shared" si="53"/>
        <v>0</v>
      </c>
      <c r="M313" s="303">
        <f t="shared" si="54"/>
        <v>0</v>
      </c>
      <c r="N313" s="307">
        <f t="shared" si="55"/>
        <v>2.1282176021486521E-10</v>
      </c>
    </row>
    <row r="314" spans="2:14" x14ac:dyDescent="0.45">
      <c r="B314" s="306">
        <f t="shared" si="56"/>
        <v>53509</v>
      </c>
      <c r="C314" s="303">
        <f t="shared" si="57"/>
        <v>-1.2187229003757238E-10</v>
      </c>
      <c r="D314" s="303">
        <f t="shared" si="48"/>
        <v>0</v>
      </c>
      <c r="E314" s="303">
        <f t="shared" si="49"/>
        <v>0</v>
      </c>
      <c r="F314" s="303">
        <f t="shared" si="50"/>
        <v>0</v>
      </c>
      <c r="G314" s="307">
        <f t="shared" si="51"/>
        <v>-1.2187229003757238E-10</v>
      </c>
      <c r="I314" s="306">
        <f t="shared" si="58"/>
        <v>54514</v>
      </c>
      <c r="J314" s="303">
        <f t="shared" si="59"/>
        <v>2.1282176021486521E-10</v>
      </c>
      <c r="K314" s="303">
        <f t="shared" si="52"/>
        <v>0</v>
      </c>
      <c r="L314" s="303">
        <f t="shared" si="53"/>
        <v>0</v>
      </c>
      <c r="M314" s="303">
        <f t="shared" si="54"/>
        <v>0</v>
      </c>
      <c r="N314" s="307">
        <f t="shared" si="55"/>
        <v>2.1282176021486521E-10</v>
      </c>
    </row>
    <row r="315" spans="2:14" x14ac:dyDescent="0.45">
      <c r="B315" s="306">
        <f t="shared" si="56"/>
        <v>53540</v>
      </c>
      <c r="C315" s="303">
        <f t="shared" si="57"/>
        <v>-1.2187229003757238E-10</v>
      </c>
      <c r="D315" s="303">
        <f t="shared" si="48"/>
        <v>0</v>
      </c>
      <c r="E315" s="303">
        <f t="shared" si="49"/>
        <v>0</v>
      </c>
      <c r="F315" s="303">
        <f t="shared" si="50"/>
        <v>0</v>
      </c>
      <c r="G315" s="307">
        <f t="shared" si="51"/>
        <v>-1.2187229003757238E-10</v>
      </c>
      <c r="I315" s="306">
        <f t="shared" si="58"/>
        <v>54544</v>
      </c>
      <c r="J315" s="303">
        <f t="shared" si="59"/>
        <v>2.1282176021486521E-10</v>
      </c>
      <c r="K315" s="303">
        <f t="shared" si="52"/>
        <v>0</v>
      </c>
      <c r="L315" s="303">
        <f t="shared" si="53"/>
        <v>0</v>
      </c>
      <c r="M315" s="303">
        <f t="shared" si="54"/>
        <v>0</v>
      </c>
      <c r="N315" s="307">
        <f t="shared" si="55"/>
        <v>2.1282176021486521E-10</v>
      </c>
    </row>
    <row r="316" spans="2:14" x14ac:dyDescent="0.45">
      <c r="B316" s="306">
        <f t="shared" si="56"/>
        <v>53571</v>
      </c>
      <c r="C316" s="303">
        <f t="shared" si="57"/>
        <v>-1.2187229003757238E-10</v>
      </c>
      <c r="D316" s="303">
        <f t="shared" si="48"/>
        <v>0</v>
      </c>
      <c r="E316" s="303">
        <f t="shared" si="49"/>
        <v>0</v>
      </c>
      <c r="F316" s="303">
        <f t="shared" si="50"/>
        <v>0</v>
      </c>
      <c r="G316" s="307">
        <f t="shared" si="51"/>
        <v>-1.2187229003757238E-10</v>
      </c>
      <c r="I316" s="306">
        <f t="shared" si="58"/>
        <v>54575</v>
      </c>
      <c r="J316" s="303">
        <f t="shared" si="59"/>
        <v>2.1282176021486521E-10</v>
      </c>
      <c r="K316" s="303">
        <f t="shared" si="52"/>
        <v>0</v>
      </c>
      <c r="L316" s="303">
        <f t="shared" si="53"/>
        <v>0</v>
      </c>
      <c r="M316" s="303">
        <f t="shared" si="54"/>
        <v>0</v>
      </c>
      <c r="N316" s="307">
        <f t="shared" si="55"/>
        <v>2.1282176021486521E-10</v>
      </c>
    </row>
    <row r="317" spans="2:14" x14ac:dyDescent="0.45">
      <c r="B317" s="306">
        <f t="shared" si="56"/>
        <v>53601</v>
      </c>
      <c r="C317" s="303">
        <f t="shared" si="57"/>
        <v>-1.2187229003757238E-10</v>
      </c>
      <c r="D317" s="303">
        <f t="shared" si="48"/>
        <v>0</v>
      </c>
      <c r="E317" s="303">
        <f t="shared" si="49"/>
        <v>0</v>
      </c>
      <c r="F317" s="303">
        <f t="shared" si="50"/>
        <v>0</v>
      </c>
      <c r="G317" s="307">
        <f t="shared" si="51"/>
        <v>-1.2187229003757238E-10</v>
      </c>
      <c r="I317" s="306">
        <f t="shared" si="58"/>
        <v>54605</v>
      </c>
      <c r="J317" s="303">
        <f t="shared" si="59"/>
        <v>2.1282176021486521E-10</v>
      </c>
      <c r="K317" s="303">
        <f t="shared" si="52"/>
        <v>0</v>
      </c>
      <c r="L317" s="303">
        <f t="shared" si="53"/>
        <v>0</v>
      </c>
      <c r="M317" s="303">
        <f t="shared" si="54"/>
        <v>0</v>
      </c>
      <c r="N317" s="307">
        <f t="shared" si="55"/>
        <v>2.1282176021486521E-10</v>
      </c>
    </row>
    <row r="318" spans="2:14" x14ac:dyDescent="0.45">
      <c r="B318" s="306">
        <f t="shared" si="56"/>
        <v>53632</v>
      </c>
      <c r="C318" s="303">
        <f t="shared" si="57"/>
        <v>-1.2187229003757238E-10</v>
      </c>
      <c r="D318" s="303">
        <f t="shared" si="48"/>
        <v>0</v>
      </c>
      <c r="E318" s="303">
        <f t="shared" si="49"/>
        <v>0</v>
      </c>
      <c r="F318" s="303">
        <f t="shared" si="50"/>
        <v>0</v>
      </c>
      <c r="G318" s="307">
        <f t="shared" si="51"/>
        <v>-1.2187229003757238E-10</v>
      </c>
      <c r="I318" s="306">
        <f t="shared" si="58"/>
        <v>54636</v>
      </c>
      <c r="J318" s="303">
        <f t="shared" si="59"/>
        <v>2.1282176021486521E-10</v>
      </c>
      <c r="K318" s="303">
        <f t="shared" si="52"/>
        <v>0</v>
      </c>
      <c r="L318" s="303">
        <f t="shared" si="53"/>
        <v>0</v>
      </c>
      <c r="M318" s="303">
        <f t="shared" si="54"/>
        <v>0</v>
      </c>
      <c r="N318" s="307">
        <f t="shared" si="55"/>
        <v>2.1282176021486521E-10</v>
      </c>
    </row>
    <row r="319" spans="2:14" x14ac:dyDescent="0.45">
      <c r="B319" s="306">
        <f t="shared" si="56"/>
        <v>53662</v>
      </c>
      <c r="C319" s="303">
        <f t="shared" si="57"/>
        <v>-1.2187229003757238E-10</v>
      </c>
      <c r="D319" s="303">
        <f t="shared" si="48"/>
        <v>0</v>
      </c>
      <c r="E319" s="303">
        <f t="shared" si="49"/>
        <v>0</v>
      </c>
      <c r="F319" s="303">
        <f t="shared" si="50"/>
        <v>0</v>
      </c>
      <c r="G319" s="307">
        <f t="shared" si="51"/>
        <v>-1.2187229003757238E-10</v>
      </c>
      <c r="I319" s="306">
        <f t="shared" si="58"/>
        <v>54667</v>
      </c>
      <c r="J319" s="303">
        <f t="shared" si="59"/>
        <v>2.1282176021486521E-10</v>
      </c>
      <c r="K319" s="303">
        <f t="shared" si="52"/>
        <v>0</v>
      </c>
      <c r="L319" s="303">
        <f t="shared" si="53"/>
        <v>0</v>
      </c>
      <c r="M319" s="303">
        <f t="shared" si="54"/>
        <v>0</v>
      </c>
      <c r="N319" s="307">
        <f t="shared" si="55"/>
        <v>2.1282176021486521E-10</v>
      </c>
    </row>
    <row r="320" spans="2:14" x14ac:dyDescent="0.45">
      <c r="B320" s="306">
        <f t="shared" si="56"/>
        <v>53693</v>
      </c>
      <c r="C320" s="303">
        <f t="shared" si="57"/>
        <v>-1.2187229003757238E-10</v>
      </c>
      <c r="D320" s="303">
        <f t="shared" si="48"/>
        <v>0</v>
      </c>
      <c r="E320" s="303">
        <f t="shared" si="49"/>
        <v>0</v>
      </c>
      <c r="F320" s="303">
        <f t="shared" si="50"/>
        <v>0</v>
      </c>
      <c r="G320" s="307">
        <f t="shared" si="51"/>
        <v>-1.2187229003757238E-10</v>
      </c>
      <c r="I320" s="306">
        <f t="shared" si="58"/>
        <v>54697</v>
      </c>
      <c r="J320" s="303">
        <f t="shared" si="59"/>
        <v>2.1282176021486521E-10</v>
      </c>
      <c r="K320" s="303">
        <f t="shared" si="52"/>
        <v>0</v>
      </c>
      <c r="L320" s="303">
        <f t="shared" si="53"/>
        <v>0</v>
      </c>
      <c r="M320" s="303">
        <f t="shared" si="54"/>
        <v>0</v>
      </c>
      <c r="N320" s="307">
        <f t="shared" si="55"/>
        <v>2.1282176021486521E-10</v>
      </c>
    </row>
    <row r="321" spans="2:14" x14ac:dyDescent="0.45">
      <c r="B321" s="306">
        <f t="shared" si="56"/>
        <v>53724</v>
      </c>
      <c r="C321" s="303">
        <f t="shared" si="57"/>
        <v>-1.2187229003757238E-10</v>
      </c>
      <c r="D321" s="303">
        <f t="shared" si="48"/>
        <v>0</v>
      </c>
      <c r="E321" s="303">
        <f t="shared" si="49"/>
        <v>0</v>
      </c>
      <c r="F321" s="303">
        <f t="shared" si="50"/>
        <v>0</v>
      </c>
      <c r="G321" s="307">
        <f t="shared" si="51"/>
        <v>-1.2187229003757238E-10</v>
      </c>
      <c r="I321" s="306">
        <f t="shared" si="58"/>
        <v>54728</v>
      </c>
      <c r="J321" s="303">
        <f t="shared" si="59"/>
        <v>2.1282176021486521E-10</v>
      </c>
      <c r="K321" s="303">
        <f t="shared" si="52"/>
        <v>0</v>
      </c>
      <c r="L321" s="303">
        <f t="shared" si="53"/>
        <v>0</v>
      </c>
      <c r="M321" s="303">
        <f t="shared" si="54"/>
        <v>0</v>
      </c>
      <c r="N321" s="307">
        <f t="shared" si="55"/>
        <v>2.1282176021486521E-10</v>
      </c>
    </row>
    <row r="322" spans="2:14" x14ac:dyDescent="0.45">
      <c r="B322" s="306">
        <f t="shared" si="56"/>
        <v>53752</v>
      </c>
      <c r="C322" s="303">
        <f t="shared" si="57"/>
        <v>-1.2187229003757238E-10</v>
      </c>
      <c r="D322" s="303">
        <f t="shared" si="48"/>
        <v>0</v>
      </c>
      <c r="E322" s="303">
        <f t="shared" si="49"/>
        <v>0</v>
      </c>
      <c r="F322" s="303">
        <f t="shared" si="50"/>
        <v>0</v>
      </c>
      <c r="G322" s="307">
        <f t="shared" si="51"/>
        <v>-1.2187229003757238E-10</v>
      </c>
      <c r="I322" s="306">
        <f t="shared" si="58"/>
        <v>54758</v>
      </c>
      <c r="J322" s="303">
        <f t="shared" si="59"/>
        <v>2.1282176021486521E-10</v>
      </c>
      <c r="K322" s="303">
        <f t="shared" si="52"/>
        <v>0</v>
      </c>
      <c r="L322" s="303">
        <f t="shared" si="53"/>
        <v>0</v>
      </c>
      <c r="M322" s="303">
        <f t="shared" si="54"/>
        <v>0</v>
      </c>
      <c r="N322" s="307">
        <f t="shared" si="55"/>
        <v>2.1282176021486521E-10</v>
      </c>
    </row>
    <row r="323" spans="2:14" x14ac:dyDescent="0.45">
      <c r="B323" s="306">
        <f t="shared" si="56"/>
        <v>53783</v>
      </c>
      <c r="C323" s="303">
        <f t="shared" si="57"/>
        <v>-1.2187229003757238E-10</v>
      </c>
      <c r="D323" s="303">
        <f t="shared" si="48"/>
        <v>0</v>
      </c>
      <c r="E323" s="303">
        <f t="shared" si="49"/>
        <v>0</v>
      </c>
      <c r="F323" s="303">
        <f t="shared" si="50"/>
        <v>0</v>
      </c>
      <c r="G323" s="307">
        <f t="shared" si="51"/>
        <v>-1.2187229003757238E-10</v>
      </c>
      <c r="I323" s="306">
        <f t="shared" si="58"/>
        <v>54789</v>
      </c>
      <c r="J323" s="303">
        <f t="shared" si="59"/>
        <v>2.1282176021486521E-10</v>
      </c>
      <c r="K323" s="303">
        <f t="shared" si="52"/>
        <v>0</v>
      </c>
      <c r="L323" s="303">
        <f t="shared" si="53"/>
        <v>0</v>
      </c>
      <c r="M323" s="303">
        <f t="shared" si="54"/>
        <v>0</v>
      </c>
      <c r="N323" s="307">
        <f t="shared" si="55"/>
        <v>2.1282176021486521E-10</v>
      </c>
    </row>
    <row r="324" spans="2:14" x14ac:dyDescent="0.45">
      <c r="B324" s="306">
        <f t="shared" si="56"/>
        <v>53813</v>
      </c>
      <c r="C324" s="303">
        <f t="shared" si="57"/>
        <v>-1.2187229003757238E-10</v>
      </c>
      <c r="D324" s="303">
        <f t="shared" si="48"/>
        <v>0</v>
      </c>
      <c r="E324" s="303">
        <f t="shared" si="49"/>
        <v>0</v>
      </c>
      <c r="F324" s="303">
        <f t="shared" si="50"/>
        <v>0</v>
      </c>
      <c r="G324" s="307">
        <f t="shared" si="51"/>
        <v>-1.2187229003757238E-10</v>
      </c>
      <c r="I324" s="306">
        <f t="shared" si="58"/>
        <v>54820</v>
      </c>
      <c r="J324" s="303">
        <f t="shared" si="59"/>
        <v>2.1282176021486521E-10</v>
      </c>
      <c r="K324" s="303">
        <f t="shared" si="52"/>
        <v>0</v>
      </c>
      <c r="L324" s="303">
        <f t="shared" si="53"/>
        <v>0</v>
      </c>
      <c r="M324" s="303">
        <f t="shared" si="54"/>
        <v>0</v>
      </c>
      <c r="N324" s="307">
        <f t="shared" si="55"/>
        <v>2.1282176021486521E-10</v>
      </c>
    </row>
    <row r="325" spans="2:14" x14ac:dyDescent="0.45">
      <c r="B325" s="306">
        <f t="shared" si="56"/>
        <v>53844</v>
      </c>
      <c r="C325" s="303">
        <f t="shared" si="57"/>
        <v>-1.2187229003757238E-10</v>
      </c>
      <c r="D325" s="303">
        <f t="shared" si="48"/>
        <v>0</v>
      </c>
      <c r="E325" s="303">
        <f t="shared" si="49"/>
        <v>0</v>
      </c>
      <c r="F325" s="303">
        <f t="shared" si="50"/>
        <v>0</v>
      </c>
      <c r="G325" s="307">
        <f t="shared" si="51"/>
        <v>-1.2187229003757238E-10</v>
      </c>
      <c r="I325" s="306">
        <f t="shared" si="58"/>
        <v>54848</v>
      </c>
      <c r="J325" s="303">
        <f t="shared" si="59"/>
        <v>2.1282176021486521E-10</v>
      </c>
      <c r="K325" s="303">
        <f t="shared" si="52"/>
        <v>0</v>
      </c>
      <c r="L325" s="303">
        <f t="shared" si="53"/>
        <v>0</v>
      </c>
      <c r="M325" s="303">
        <f t="shared" si="54"/>
        <v>0</v>
      </c>
      <c r="N325" s="307">
        <f t="shared" si="55"/>
        <v>2.1282176021486521E-10</v>
      </c>
    </row>
    <row r="326" spans="2:14" x14ac:dyDescent="0.45">
      <c r="B326" s="306">
        <f t="shared" si="56"/>
        <v>53874</v>
      </c>
      <c r="C326" s="303">
        <f t="shared" si="57"/>
        <v>-1.2187229003757238E-10</v>
      </c>
      <c r="D326" s="303">
        <f t="shared" si="48"/>
        <v>0</v>
      </c>
      <c r="E326" s="303">
        <f t="shared" si="49"/>
        <v>0</v>
      </c>
      <c r="F326" s="303">
        <f t="shared" si="50"/>
        <v>0</v>
      </c>
      <c r="G326" s="307">
        <f t="shared" si="51"/>
        <v>-1.2187229003757238E-10</v>
      </c>
      <c r="I326" s="306">
        <f t="shared" si="58"/>
        <v>54879</v>
      </c>
      <c r="J326" s="303">
        <f t="shared" si="59"/>
        <v>2.1282176021486521E-10</v>
      </c>
      <c r="K326" s="303">
        <f t="shared" si="52"/>
        <v>0</v>
      </c>
      <c r="L326" s="303">
        <f t="shared" si="53"/>
        <v>0</v>
      </c>
      <c r="M326" s="303">
        <f t="shared" si="54"/>
        <v>0</v>
      </c>
      <c r="N326" s="307">
        <f t="shared" si="55"/>
        <v>2.1282176021486521E-10</v>
      </c>
    </row>
    <row r="327" spans="2:14" x14ac:dyDescent="0.45">
      <c r="B327" s="306">
        <f t="shared" si="56"/>
        <v>53905</v>
      </c>
      <c r="C327" s="303">
        <f t="shared" si="57"/>
        <v>-1.2187229003757238E-10</v>
      </c>
      <c r="D327" s="303">
        <f t="shared" si="48"/>
        <v>0</v>
      </c>
      <c r="E327" s="303">
        <f t="shared" si="49"/>
        <v>0</v>
      </c>
      <c r="F327" s="303">
        <f t="shared" si="50"/>
        <v>0</v>
      </c>
      <c r="G327" s="307">
        <f t="shared" si="51"/>
        <v>-1.2187229003757238E-10</v>
      </c>
      <c r="I327" s="306">
        <f t="shared" si="58"/>
        <v>54909</v>
      </c>
      <c r="J327" s="303">
        <f t="shared" si="59"/>
        <v>2.1282176021486521E-10</v>
      </c>
      <c r="K327" s="303">
        <f t="shared" si="52"/>
        <v>0</v>
      </c>
      <c r="L327" s="303">
        <f t="shared" si="53"/>
        <v>0</v>
      </c>
      <c r="M327" s="303">
        <f t="shared" si="54"/>
        <v>0</v>
      </c>
      <c r="N327" s="307">
        <f t="shared" si="55"/>
        <v>2.1282176021486521E-10</v>
      </c>
    </row>
    <row r="328" spans="2:14" x14ac:dyDescent="0.45">
      <c r="B328" s="306">
        <f t="shared" si="56"/>
        <v>53936</v>
      </c>
      <c r="C328" s="303">
        <f t="shared" si="57"/>
        <v>-1.2187229003757238E-10</v>
      </c>
      <c r="D328" s="303">
        <f t="shared" si="48"/>
        <v>0</v>
      </c>
      <c r="E328" s="303">
        <f t="shared" si="49"/>
        <v>0</v>
      </c>
      <c r="F328" s="303">
        <f t="shared" si="50"/>
        <v>0</v>
      </c>
      <c r="G328" s="307">
        <f t="shared" si="51"/>
        <v>-1.2187229003757238E-10</v>
      </c>
      <c r="I328" s="306">
        <f t="shared" si="58"/>
        <v>54940</v>
      </c>
      <c r="J328" s="303">
        <f t="shared" si="59"/>
        <v>2.1282176021486521E-10</v>
      </c>
      <c r="K328" s="303">
        <f t="shared" si="52"/>
        <v>0</v>
      </c>
      <c r="L328" s="303">
        <f t="shared" si="53"/>
        <v>0</v>
      </c>
      <c r="M328" s="303">
        <f t="shared" si="54"/>
        <v>0</v>
      </c>
      <c r="N328" s="307">
        <f t="shared" si="55"/>
        <v>2.1282176021486521E-10</v>
      </c>
    </row>
    <row r="329" spans="2:14" x14ac:dyDescent="0.45">
      <c r="B329" s="306">
        <f t="shared" si="56"/>
        <v>53966</v>
      </c>
      <c r="C329" s="303">
        <f t="shared" si="57"/>
        <v>-1.2187229003757238E-10</v>
      </c>
      <c r="D329" s="303">
        <f t="shared" si="48"/>
        <v>0</v>
      </c>
      <c r="E329" s="303">
        <f t="shared" si="49"/>
        <v>0</v>
      </c>
      <c r="F329" s="303">
        <f t="shared" si="50"/>
        <v>0</v>
      </c>
      <c r="G329" s="307">
        <f t="shared" si="51"/>
        <v>-1.2187229003757238E-10</v>
      </c>
      <c r="I329" s="306">
        <f t="shared" si="58"/>
        <v>54970</v>
      </c>
      <c r="J329" s="303">
        <f t="shared" si="59"/>
        <v>2.1282176021486521E-10</v>
      </c>
      <c r="K329" s="303">
        <f t="shared" si="52"/>
        <v>0</v>
      </c>
      <c r="L329" s="303">
        <f t="shared" si="53"/>
        <v>0</v>
      </c>
      <c r="M329" s="303">
        <f t="shared" si="54"/>
        <v>0</v>
      </c>
      <c r="N329" s="307">
        <f t="shared" si="55"/>
        <v>2.1282176021486521E-10</v>
      </c>
    </row>
    <row r="330" spans="2:14" x14ac:dyDescent="0.45">
      <c r="B330" s="306">
        <f t="shared" si="56"/>
        <v>53997</v>
      </c>
      <c r="C330" s="303">
        <f t="shared" si="57"/>
        <v>-1.2187229003757238E-10</v>
      </c>
      <c r="D330" s="303">
        <f t="shared" si="48"/>
        <v>0</v>
      </c>
      <c r="E330" s="303">
        <f t="shared" si="49"/>
        <v>0</v>
      </c>
      <c r="F330" s="303">
        <f t="shared" si="50"/>
        <v>0</v>
      </c>
      <c r="G330" s="307">
        <f t="shared" si="51"/>
        <v>-1.2187229003757238E-10</v>
      </c>
      <c r="I330" s="306">
        <f t="shared" si="58"/>
        <v>55001</v>
      </c>
      <c r="J330" s="303">
        <f t="shared" si="59"/>
        <v>2.1282176021486521E-10</v>
      </c>
      <c r="K330" s="303">
        <f t="shared" si="52"/>
        <v>0</v>
      </c>
      <c r="L330" s="303">
        <f t="shared" si="53"/>
        <v>0</v>
      </c>
      <c r="M330" s="303">
        <f t="shared" si="54"/>
        <v>0</v>
      </c>
      <c r="N330" s="307">
        <f t="shared" si="55"/>
        <v>2.1282176021486521E-10</v>
      </c>
    </row>
    <row r="331" spans="2:14" x14ac:dyDescent="0.45">
      <c r="B331" s="306">
        <f t="shared" si="56"/>
        <v>54027</v>
      </c>
      <c r="C331" s="303">
        <f t="shared" si="57"/>
        <v>-1.2187229003757238E-10</v>
      </c>
      <c r="D331" s="303">
        <f t="shared" si="48"/>
        <v>0</v>
      </c>
      <c r="E331" s="303">
        <f t="shared" si="49"/>
        <v>0</v>
      </c>
      <c r="F331" s="303">
        <f t="shared" si="50"/>
        <v>0</v>
      </c>
      <c r="G331" s="307">
        <f t="shared" si="51"/>
        <v>-1.2187229003757238E-10</v>
      </c>
      <c r="I331" s="306">
        <f t="shared" si="58"/>
        <v>55032</v>
      </c>
      <c r="J331" s="303">
        <f t="shared" si="59"/>
        <v>2.1282176021486521E-10</v>
      </c>
      <c r="K331" s="303">
        <f t="shared" si="52"/>
        <v>0</v>
      </c>
      <c r="L331" s="303">
        <f t="shared" si="53"/>
        <v>0</v>
      </c>
      <c r="M331" s="303">
        <f t="shared" si="54"/>
        <v>0</v>
      </c>
      <c r="N331" s="307">
        <f t="shared" si="55"/>
        <v>2.1282176021486521E-10</v>
      </c>
    </row>
    <row r="332" spans="2:14" x14ac:dyDescent="0.45">
      <c r="B332" s="306">
        <f t="shared" si="56"/>
        <v>54058</v>
      </c>
      <c r="C332" s="303">
        <f t="shared" si="57"/>
        <v>-1.2187229003757238E-10</v>
      </c>
      <c r="D332" s="303">
        <f t="shared" ref="D332:D395" si="60">IF(ROUNDDOWN(C332,0)=0,0,PMT($E$4/12,$E$7,-$E$8)+$E$5)</f>
        <v>0</v>
      </c>
      <c r="E332" s="303">
        <f t="shared" ref="E332:E395" si="61">IF(ROUNDDOWN(C332,0)=0,0,(C332*$E$4/12)+$E$5)</f>
        <v>0</v>
      </c>
      <c r="F332" s="303">
        <f t="shared" ref="F332:F395" si="62">D332-E332</f>
        <v>0</v>
      </c>
      <c r="G332" s="307">
        <f t="shared" ref="G332:G395" si="63">C332-F332</f>
        <v>-1.2187229003757238E-10</v>
      </c>
      <c r="I332" s="306">
        <f t="shared" si="58"/>
        <v>55062</v>
      </c>
      <c r="J332" s="303">
        <f t="shared" si="59"/>
        <v>2.1282176021486521E-10</v>
      </c>
      <c r="K332" s="303">
        <f t="shared" ref="K332:K395" si="64">IF(ROUNDDOWN(J332,0)=0,0,PMT($L$4/12,$L$7,-$L$8)+$L$5)</f>
        <v>0</v>
      </c>
      <c r="L332" s="303">
        <f t="shared" ref="L332:L395" si="65">IF(ROUNDDOWN(J332,0)=0,0,(J332*$L$4/12)+$L$5)</f>
        <v>0</v>
      </c>
      <c r="M332" s="303">
        <f t="shared" ref="M332:M395" si="66">K332-L332</f>
        <v>0</v>
      </c>
      <c r="N332" s="307">
        <f t="shared" ref="N332:N395" si="67">J332-M332</f>
        <v>2.1282176021486521E-10</v>
      </c>
    </row>
    <row r="333" spans="2:14" x14ac:dyDescent="0.45">
      <c r="B333" s="306">
        <f t="shared" ref="B333:B396" si="68">EDATE(B332,1)</f>
        <v>54089</v>
      </c>
      <c r="C333" s="303">
        <f t="shared" ref="C333:C396" si="69">G332</f>
        <v>-1.2187229003757238E-10</v>
      </c>
      <c r="D333" s="303">
        <f t="shared" si="60"/>
        <v>0</v>
      </c>
      <c r="E333" s="303">
        <f t="shared" si="61"/>
        <v>0</v>
      </c>
      <c r="F333" s="303">
        <f t="shared" si="62"/>
        <v>0</v>
      </c>
      <c r="G333" s="307">
        <f t="shared" si="63"/>
        <v>-1.2187229003757238E-10</v>
      </c>
      <c r="I333" s="306">
        <f t="shared" ref="I333:I396" si="70">EDATE(I332,1)</f>
        <v>55093</v>
      </c>
      <c r="J333" s="303">
        <f t="shared" ref="J333:J396" si="71">N332</f>
        <v>2.1282176021486521E-10</v>
      </c>
      <c r="K333" s="303">
        <f t="shared" si="64"/>
        <v>0</v>
      </c>
      <c r="L333" s="303">
        <f t="shared" si="65"/>
        <v>0</v>
      </c>
      <c r="M333" s="303">
        <f t="shared" si="66"/>
        <v>0</v>
      </c>
      <c r="N333" s="307">
        <f t="shared" si="67"/>
        <v>2.1282176021486521E-10</v>
      </c>
    </row>
    <row r="334" spans="2:14" x14ac:dyDescent="0.45">
      <c r="B334" s="306">
        <f t="shared" si="68"/>
        <v>54118</v>
      </c>
      <c r="C334" s="303">
        <f t="shared" si="69"/>
        <v>-1.2187229003757238E-10</v>
      </c>
      <c r="D334" s="303">
        <f t="shared" si="60"/>
        <v>0</v>
      </c>
      <c r="E334" s="303">
        <f t="shared" si="61"/>
        <v>0</v>
      </c>
      <c r="F334" s="303">
        <f t="shared" si="62"/>
        <v>0</v>
      </c>
      <c r="G334" s="307">
        <f t="shared" si="63"/>
        <v>-1.2187229003757238E-10</v>
      </c>
      <c r="I334" s="306">
        <f t="shared" si="70"/>
        <v>55123</v>
      </c>
      <c r="J334" s="303">
        <f t="shared" si="71"/>
        <v>2.1282176021486521E-10</v>
      </c>
      <c r="K334" s="303">
        <f t="shared" si="64"/>
        <v>0</v>
      </c>
      <c r="L334" s="303">
        <f t="shared" si="65"/>
        <v>0</v>
      </c>
      <c r="M334" s="303">
        <f t="shared" si="66"/>
        <v>0</v>
      </c>
      <c r="N334" s="307">
        <f t="shared" si="67"/>
        <v>2.1282176021486521E-10</v>
      </c>
    </row>
    <row r="335" spans="2:14" x14ac:dyDescent="0.45">
      <c r="B335" s="306">
        <f t="shared" si="68"/>
        <v>54149</v>
      </c>
      <c r="C335" s="303">
        <f t="shared" si="69"/>
        <v>-1.2187229003757238E-10</v>
      </c>
      <c r="D335" s="303">
        <f t="shared" si="60"/>
        <v>0</v>
      </c>
      <c r="E335" s="303">
        <f t="shared" si="61"/>
        <v>0</v>
      </c>
      <c r="F335" s="303">
        <f t="shared" si="62"/>
        <v>0</v>
      </c>
      <c r="G335" s="307">
        <f t="shared" si="63"/>
        <v>-1.2187229003757238E-10</v>
      </c>
      <c r="I335" s="306">
        <f t="shared" si="70"/>
        <v>55154</v>
      </c>
      <c r="J335" s="303">
        <f t="shared" si="71"/>
        <v>2.1282176021486521E-10</v>
      </c>
      <c r="K335" s="303">
        <f t="shared" si="64"/>
        <v>0</v>
      </c>
      <c r="L335" s="303">
        <f t="shared" si="65"/>
        <v>0</v>
      </c>
      <c r="M335" s="303">
        <f t="shared" si="66"/>
        <v>0</v>
      </c>
      <c r="N335" s="307">
        <f t="shared" si="67"/>
        <v>2.1282176021486521E-10</v>
      </c>
    </row>
    <row r="336" spans="2:14" x14ac:dyDescent="0.45">
      <c r="B336" s="306">
        <f t="shared" si="68"/>
        <v>54179</v>
      </c>
      <c r="C336" s="303">
        <f t="shared" si="69"/>
        <v>-1.2187229003757238E-10</v>
      </c>
      <c r="D336" s="303">
        <f t="shared" si="60"/>
        <v>0</v>
      </c>
      <c r="E336" s="303">
        <f t="shared" si="61"/>
        <v>0</v>
      </c>
      <c r="F336" s="303">
        <f t="shared" si="62"/>
        <v>0</v>
      </c>
      <c r="G336" s="307">
        <f t="shared" si="63"/>
        <v>-1.2187229003757238E-10</v>
      </c>
      <c r="I336" s="306">
        <f t="shared" si="70"/>
        <v>55185</v>
      </c>
      <c r="J336" s="303">
        <f t="shared" si="71"/>
        <v>2.1282176021486521E-10</v>
      </c>
      <c r="K336" s="303">
        <f t="shared" si="64"/>
        <v>0</v>
      </c>
      <c r="L336" s="303">
        <f t="shared" si="65"/>
        <v>0</v>
      </c>
      <c r="M336" s="303">
        <f t="shared" si="66"/>
        <v>0</v>
      </c>
      <c r="N336" s="307">
        <f t="shared" si="67"/>
        <v>2.1282176021486521E-10</v>
      </c>
    </row>
    <row r="337" spans="2:14" x14ac:dyDescent="0.45">
      <c r="B337" s="306">
        <f t="shared" si="68"/>
        <v>54210</v>
      </c>
      <c r="C337" s="303">
        <f t="shared" si="69"/>
        <v>-1.2187229003757238E-10</v>
      </c>
      <c r="D337" s="303">
        <f t="shared" si="60"/>
        <v>0</v>
      </c>
      <c r="E337" s="303">
        <f t="shared" si="61"/>
        <v>0</v>
      </c>
      <c r="F337" s="303">
        <f t="shared" si="62"/>
        <v>0</v>
      </c>
      <c r="G337" s="307">
        <f t="shared" si="63"/>
        <v>-1.2187229003757238E-10</v>
      </c>
      <c r="I337" s="306">
        <f t="shared" si="70"/>
        <v>55213</v>
      </c>
      <c r="J337" s="303">
        <f t="shared" si="71"/>
        <v>2.1282176021486521E-10</v>
      </c>
      <c r="K337" s="303">
        <f t="shared" si="64"/>
        <v>0</v>
      </c>
      <c r="L337" s="303">
        <f t="shared" si="65"/>
        <v>0</v>
      </c>
      <c r="M337" s="303">
        <f t="shared" si="66"/>
        <v>0</v>
      </c>
      <c r="N337" s="307">
        <f t="shared" si="67"/>
        <v>2.1282176021486521E-10</v>
      </c>
    </row>
    <row r="338" spans="2:14" x14ac:dyDescent="0.45">
      <c r="B338" s="306">
        <f t="shared" si="68"/>
        <v>54240</v>
      </c>
      <c r="C338" s="303">
        <f t="shared" si="69"/>
        <v>-1.2187229003757238E-10</v>
      </c>
      <c r="D338" s="303">
        <f t="shared" si="60"/>
        <v>0</v>
      </c>
      <c r="E338" s="303">
        <f t="shared" si="61"/>
        <v>0</v>
      </c>
      <c r="F338" s="303">
        <f t="shared" si="62"/>
        <v>0</v>
      </c>
      <c r="G338" s="307">
        <f t="shared" si="63"/>
        <v>-1.2187229003757238E-10</v>
      </c>
      <c r="I338" s="306">
        <f t="shared" si="70"/>
        <v>55244</v>
      </c>
      <c r="J338" s="303">
        <f t="shared" si="71"/>
        <v>2.1282176021486521E-10</v>
      </c>
      <c r="K338" s="303">
        <f t="shared" si="64"/>
        <v>0</v>
      </c>
      <c r="L338" s="303">
        <f t="shared" si="65"/>
        <v>0</v>
      </c>
      <c r="M338" s="303">
        <f t="shared" si="66"/>
        <v>0</v>
      </c>
      <c r="N338" s="307">
        <f t="shared" si="67"/>
        <v>2.1282176021486521E-10</v>
      </c>
    </row>
    <row r="339" spans="2:14" x14ac:dyDescent="0.45">
      <c r="B339" s="306">
        <f t="shared" si="68"/>
        <v>54271</v>
      </c>
      <c r="C339" s="303">
        <f t="shared" si="69"/>
        <v>-1.2187229003757238E-10</v>
      </c>
      <c r="D339" s="303">
        <f t="shared" si="60"/>
        <v>0</v>
      </c>
      <c r="E339" s="303">
        <f t="shared" si="61"/>
        <v>0</v>
      </c>
      <c r="F339" s="303">
        <f t="shared" si="62"/>
        <v>0</v>
      </c>
      <c r="G339" s="307">
        <f t="shared" si="63"/>
        <v>-1.2187229003757238E-10</v>
      </c>
      <c r="I339" s="306">
        <f t="shared" si="70"/>
        <v>55274</v>
      </c>
      <c r="J339" s="303">
        <f t="shared" si="71"/>
        <v>2.1282176021486521E-10</v>
      </c>
      <c r="K339" s="303">
        <f t="shared" si="64"/>
        <v>0</v>
      </c>
      <c r="L339" s="303">
        <f t="shared" si="65"/>
        <v>0</v>
      </c>
      <c r="M339" s="303">
        <f t="shared" si="66"/>
        <v>0</v>
      </c>
      <c r="N339" s="307">
        <f t="shared" si="67"/>
        <v>2.1282176021486521E-10</v>
      </c>
    </row>
    <row r="340" spans="2:14" x14ac:dyDescent="0.45">
      <c r="B340" s="306">
        <f t="shared" si="68"/>
        <v>54302</v>
      </c>
      <c r="C340" s="303">
        <f t="shared" si="69"/>
        <v>-1.2187229003757238E-10</v>
      </c>
      <c r="D340" s="303">
        <f t="shared" si="60"/>
        <v>0</v>
      </c>
      <c r="E340" s="303">
        <f t="shared" si="61"/>
        <v>0</v>
      </c>
      <c r="F340" s="303">
        <f t="shared" si="62"/>
        <v>0</v>
      </c>
      <c r="G340" s="307">
        <f t="shared" si="63"/>
        <v>-1.2187229003757238E-10</v>
      </c>
      <c r="I340" s="306">
        <f t="shared" si="70"/>
        <v>55305</v>
      </c>
      <c r="J340" s="303">
        <f t="shared" si="71"/>
        <v>2.1282176021486521E-10</v>
      </c>
      <c r="K340" s="303">
        <f t="shared" si="64"/>
        <v>0</v>
      </c>
      <c r="L340" s="303">
        <f t="shared" si="65"/>
        <v>0</v>
      </c>
      <c r="M340" s="303">
        <f t="shared" si="66"/>
        <v>0</v>
      </c>
      <c r="N340" s="307">
        <f t="shared" si="67"/>
        <v>2.1282176021486521E-10</v>
      </c>
    </row>
    <row r="341" spans="2:14" x14ac:dyDescent="0.45">
      <c r="B341" s="306">
        <f t="shared" si="68"/>
        <v>54332</v>
      </c>
      <c r="C341" s="303">
        <f t="shared" si="69"/>
        <v>-1.2187229003757238E-10</v>
      </c>
      <c r="D341" s="303">
        <f t="shared" si="60"/>
        <v>0</v>
      </c>
      <c r="E341" s="303">
        <f t="shared" si="61"/>
        <v>0</v>
      </c>
      <c r="F341" s="303">
        <f t="shared" si="62"/>
        <v>0</v>
      </c>
      <c r="G341" s="307">
        <f t="shared" si="63"/>
        <v>-1.2187229003757238E-10</v>
      </c>
      <c r="I341" s="306">
        <f t="shared" si="70"/>
        <v>55335</v>
      </c>
      <c r="J341" s="303">
        <f t="shared" si="71"/>
        <v>2.1282176021486521E-10</v>
      </c>
      <c r="K341" s="303">
        <f t="shared" si="64"/>
        <v>0</v>
      </c>
      <c r="L341" s="303">
        <f t="shared" si="65"/>
        <v>0</v>
      </c>
      <c r="M341" s="303">
        <f t="shared" si="66"/>
        <v>0</v>
      </c>
      <c r="N341" s="307">
        <f t="shared" si="67"/>
        <v>2.1282176021486521E-10</v>
      </c>
    </row>
    <row r="342" spans="2:14" x14ac:dyDescent="0.45">
      <c r="B342" s="306">
        <f t="shared" si="68"/>
        <v>54363</v>
      </c>
      <c r="C342" s="303">
        <f t="shared" si="69"/>
        <v>-1.2187229003757238E-10</v>
      </c>
      <c r="D342" s="303">
        <f t="shared" si="60"/>
        <v>0</v>
      </c>
      <c r="E342" s="303">
        <f t="shared" si="61"/>
        <v>0</v>
      </c>
      <c r="F342" s="303">
        <f t="shared" si="62"/>
        <v>0</v>
      </c>
      <c r="G342" s="307">
        <f t="shared" si="63"/>
        <v>-1.2187229003757238E-10</v>
      </c>
      <c r="I342" s="306">
        <f t="shared" si="70"/>
        <v>55366</v>
      </c>
      <c r="J342" s="303">
        <f t="shared" si="71"/>
        <v>2.1282176021486521E-10</v>
      </c>
      <c r="K342" s="303">
        <f t="shared" si="64"/>
        <v>0</v>
      </c>
      <c r="L342" s="303">
        <f t="shared" si="65"/>
        <v>0</v>
      </c>
      <c r="M342" s="303">
        <f t="shared" si="66"/>
        <v>0</v>
      </c>
      <c r="N342" s="307">
        <f t="shared" si="67"/>
        <v>2.1282176021486521E-10</v>
      </c>
    </row>
    <row r="343" spans="2:14" x14ac:dyDescent="0.45">
      <c r="B343" s="306">
        <f t="shared" si="68"/>
        <v>54393</v>
      </c>
      <c r="C343" s="303">
        <f t="shared" si="69"/>
        <v>-1.2187229003757238E-10</v>
      </c>
      <c r="D343" s="303">
        <f t="shared" si="60"/>
        <v>0</v>
      </c>
      <c r="E343" s="303">
        <f t="shared" si="61"/>
        <v>0</v>
      </c>
      <c r="F343" s="303">
        <f t="shared" si="62"/>
        <v>0</v>
      </c>
      <c r="G343" s="307">
        <f t="shared" si="63"/>
        <v>-1.2187229003757238E-10</v>
      </c>
      <c r="I343" s="306">
        <f t="shared" si="70"/>
        <v>55397</v>
      </c>
      <c r="J343" s="303">
        <f t="shared" si="71"/>
        <v>2.1282176021486521E-10</v>
      </c>
      <c r="K343" s="303">
        <f t="shared" si="64"/>
        <v>0</v>
      </c>
      <c r="L343" s="303">
        <f t="shared" si="65"/>
        <v>0</v>
      </c>
      <c r="M343" s="303">
        <f t="shared" si="66"/>
        <v>0</v>
      </c>
      <c r="N343" s="307">
        <f t="shared" si="67"/>
        <v>2.1282176021486521E-10</v>
      </c>
    </row>
    <row r="344" spans="2:14" x14ac:dyDescent="0.45">
      <c r="B344" s="306">
        <f t="shared" si="68"/>
        <v>54424</v>
      </c>
      <c r="C344" s="303">
        <f t="shared" si="69"/>
        <v>-1.2187229003757238E-10</v>
      </c>
      <c r="D344" s="303">
        <f t="shared" si="60"/>
        <v>0</v>
      </c>
      <c r="E344" s="303">
        <f t="shared" si="61"/>
        <v>0</v>
      </c>
      <c r="F344" s="303">
        <f t="shared" si="62"/>
        <v>0</v>
      </c>
      <c r="G344" s="307">
        <f t="shared" si="63"/>
        <v>-1.2187229003757238E-10</v>
      </c>
      <c r="I344" s="306">
        <f t="shared" si="70"/>
        <v>55427</v>
      </c>
      <c r="J344" s="303">
        <f t="shared" si="71"/>
        <v>2.1282176021486521E-10</v>
      </c>
      <c r="K344" s="303">
        <f t="shared" si="64"/>
        <v>0</v>
      </c>
      <c r="L344" s="303">
        <f t="shared" si="65"/>
        <v>0</v>
      </c>
      <c r="M344" s="303">
        <f t="shared" si="66"/>
        <v>0</v>
      </c>
      <c r="N344" s="307">
        <f t="shared" si="67"/>
        <v>2.1282176021486521E-10</v>
      </c>
    </row>
    <row r="345" spans="2:14" x14ac:dyDescent="0.45">
      <c r="B345" s="306">
        <f t="shared" si="68"/>
        <v>54455</v>
      </c>
      <c r="C345" s="303">
        <f t="shared" si="69"/>
        <v>-1.2187229003757238E-10</v>
      </c>
      <c r="D345" s="303">
        <f t="shared" si="60"/>
        <v>0</v>
      </c>
      <c r="E345" s="303">
        <f t="shared" si="61"/>
        <v>0</v>
      </c>
      <c r="F345" s="303">
        <f t="shared" si="62"/>
        <v>0</v>
      </c>
      <c r="G345" s="307">
        <f t="shared" si="63"/>
        <v>-1.2187229003757238E-10</v>
      </c>
      <c r="I345" s="306">
        <f t="shared" si="70"/>
        <v>55458</v>
      </c>
      <c r="J345" s="303">
        <f t="shared" si="71"/>
        <v>2.1282176021486521E-10</v>
      </c>
      <c r="K345" s="303">
        <f t="shared" si="64"/>
        <v>0</v>
      </c>
      <c r="L345" s="303">
        <f t="shared" si="65"/>
        <v>0</v>
      </c>
      <c r="M345" s="303">
        <f t="shared" si="66"/>
        <v>0</v>
      </c>
      <c r="N345" s="307">
        <f t="shared" si="67"/>
        <v>2.1282176021486521E-10</v>
      </c>
    </row>
    <row r="346" spans="2:14" x14ac:dyDescent="0.45">
      <c r="B346" s="306">
        <f t="shared" si="68"/>
        <v>54483</v>
      </c>
      <c r="C346" s="303">
        <f t="shared" si="69"/>
        <v>-1.2187229003757238E-10</v>
      </c>
      <c r="D346" s="303">
        <f t="shared" si="60"/>
        <v>0</v>
      </c>
      <c r="E346" s="303">
        <f t="shared" si="61"/>
        <v>0</v>
      </c>
      <c r="F346" s="303">
        <f t="shared" si="62"/>
        <v>0</v>
      </c>
      <c r="G346" s="307">
        <f t="shared" si="63"/>
        <v>-1.2187229003757238E-10</v>
      </c>
      <c r="I346" s="306">
        <f t="shared" si="70"/>
        <v>55488</v>
      </c>
      <c r="J346" s="303">
        <f t="shared" si="71"/>
        <v>2.1282176021486521E-10</v>
      </c>
      <c r="K346" s="303">
        <f t="shared" si="64"/>
        <v>0</v>
      </c>
      <c r="L346" s="303">
        <f t="shared" si="65"/>
        <v>0</v>
      </c>
      <c r="M346" s="303">
        <f t="shared" si="66"/>
        <v>0</v>
      </c>
      <c r="N346" s="307">
        <f t="shared" si="67"/>
        <v>2.1282176021486521E-10</v>
      </c>
    </row>
    <row r="347" spans="2:14" x14ac:dyDescent="0.45">
      <c r="B347" s="306">
        <f t="shared" si="68"/>
        <v>54514</v>
      </c>
      <c r="C347" s="303">
        <f t="shared" si="69"/>
        <v>-1.2187229003757238E-10</v>
      </c>
      <c r="D347" s="303">
        <f t="shared" si="60"/>
        <v>0</v>
      </c>
      <c r="E347" s="303">
        <f t="shared" si="61"/>
        <v>0</v>
      </c>
      <c r="F347" s="303">
        <f t="shared" si="62"/>
        <v>0</v>
      </c>
      <c r="G347" s="307">
        <f t="shared" si="63"/>
        <v>-1.2187229003757238E-10</v>
      </c>
      <c r="I347" s="306">
        <f t="shared" si="70"/>
        <v>55519</v>
      </c>
      <c r="J347" s="303">
        <f t="shared" si="71"/>
        <v>2.1282176021486521E-10</v>
      </c>
      <c r="K347" s="303">
        <f t="shared" si="64"/>
        <v>0</v>
      </c>
      <c r="L347" s="303">
        <f t="shared" si="65"/>
        <v>0</v>
      </c>
      <c r="M347" s="303">
        <f t="shared" si="66"/>
        <v>0</v>
      </c>
      <c r="N347" s="307">
        <f t="shared" si="67"/>
        <v>2.1282176021486521E-10</v>
      </c>
    </row>
    <row r="348" spans="2:14" x14ac:dyDescent="0.45">
      <c r="B348" s="306">
        <f t="shared" si="68"/>
        <v>54544</v>
      </c>
      <c r="C348" s="303">
        <f t="shared" si="69"/>
        <v>-1.2187229003757238E-10</v>
      </c>
      <c r="D348" s="303">
        <f t="shared" si="60"/>
        <v>0</v>
      </c>
      <c r="E348" s="303">
        <f t="shared" si="61"/>
        <v>0</v>
      </c>
      <c r="F348" s="303">
        <f t="shared" si="62"/>
        <v>0</v>
      </c>
      <c r="G348" s="307">
        <f t="shared" si="63"/>
        <v>-1.2187229003757238E-10</v>
      </c>
      <c r="I348" s="306">
        <f t="shared" si="70"/>
        <v>55550</v>
      </c>
      <c r="J348" s="303">
        <f t="shared" si="71"/>
        <v>2.1282176021486521E-10</v>
      </c>
      <c r="K348" s="303">
        <f t="shared" si="64"/>
        <v>0</v>
      </c>
      <c r="L348" s="303">
        <f t="shared" si="65"/>
        <v>0</v>
      </c>
      <c r="M348" s="303">
        <f t="shared" si="66"/>
        <v>0</v>
      </c>
      <c r="N348" s="307">
        <f t="shared" si="67"/>
        <v>2.1282176021486521E-10</v>
      </c>
    </row>
    <row r="349" spans="2:14" x14ac:dyDescent="0.45">
      <c r="B349" s="306">
        <f t="shared" si="68"/>
        <v>54575</v>
      </c>
      <c r="C349" s="303">
        <f t="shared" si="69"/>
        <v>-1.2187229003757238E-10</v>
      </c>
      <c r="D349" s="303">
        <f t="shared" si="60"/>
        <v>0</v>
      </c>
      <c r="E349" s="303">
        <f t="shared" si="61"/>
        <v>0</v>
      </c>
      <c r="F349" s="303">
        <f t="shared" si="62"/>
        <v>0</v>
      </c>
      <c r="G349" s="307">
        <f t="shared" si="63"/>
        <v>-1.2187229003757238E-10</v>
      </c>
      <c r="I349" s="306">
        <f t="shared" si="70"/>
        <v>55579</v>
      </c>
      <c r="J349" s="303">
        <f t="shared" si="71"/>
        <v>2.1282176021486521E-10</v>
      </c>
      <c r="K349" s="303">
        <f t="shared" si="64"/>
        <v>0</v>
      </c>
      <c r="L349" s="303">
        <f t="shared" si="65"/>
        <v>0</v>
      </c>
      <c r="M349" s="303">
        <f t="shared" si="66"/>
        <v>0</v>
      </c>
      <c r="N349" s="307">
        <f t="shared" si="67"/>
        <v>2.1282176021486521E-10</v>
      </c>
    </row>
    <row r="350" spans="2:14" x14ac:dyDescent="0.45">
      <c r="B350" s="306">
        <f t="shared" si="68"/>
        <v>54605</v>
      </c>
      <c r="C350" s="303">
        <f t="shared" si="69"/>
        <v>-1.2187229003757238E-10</v>
      </c>
      <c r="D350" s="303">
        <f t="shared" si="60"/>
        <v>0</v>
      </c>
      <c r="E350" s="303">
        <f t="shared" si="61"/>
        <v>0</v>
      </c>
      <c r="F350" s="303">
        <f t="shared" si="62"/>
        <v>0</v>
      </c>
      <c r="G350" s="307">
        <f t="shared" si="63"/>
        <v>-1.2187229003757238E-10</v>
      </c>
      <c r="I350" s="306">
        <f t="shared" si="70"/>
        <v>55610</v>
      </c>
      <c r="J350" s="303">
        <f t="shared" si="71"/>
        <v>2.1282176021486521E-10</v>
      </c>
      <c r="K350" s="303">
        <f t="shared" si="64"/>
        <v>0</v>
      </c>
      <c r="L350" s="303">
        <f t="shared" si="65"/>
        <v>0</v>
      </c>
      <c r="M350" s="303">
        <f t="shared" si="66"/>
        <v>0</v>
      </c>
      <c r="N350" s="307">
        <f t="shared" si="67"/>
        <v>2.1282176021486521E-10</v>
      </c>
    </row>
    <row r="351" spans="2:14" x14ac:dyDescent="0.45">
      <c r="B351" s="306">
        <f t="shared" si="68"/>
        <v>54636</v>
      </c>
      <c r="C351" s="303">
        <f t="shared" si="69"/>
        <v>-1.2187229003757238E-10</v>
      </c>
      <c r="D351" s="303">
        <f t="shared" si="60"/>
        <v>0</v>
      </c>
      <c r="E351" s="303">
        <f t="shared" si="61"/>
        <v>0</v>
      </c>
      <c r="F351" s="303">
        <f t="shared" si="62"/>
        <v>0</v>
      </c>
      <c r="G351" s="307">
        <f t="shared" si="63"/>
        <v>-1.2187229003757238E-10</v>
      </c>
      <c r="I351" s="306">
        <f t="shared" si="70"/>
        <v>55640</v>
      </c>
      <c r="J351" s="303">
        <f t="shared" si="71"/>
        <v>2.1282176021486521E-10</v>
      </c>
      <c r="K351" s="303">
        <f t="shared" si="64"/>
        <v>0</v>
      </c>
      <c r="L351" s="303">
        <f t="shared" si="65"/>
        <v>0</v>
      </c>
      <c r="M351" s="303">
        <f t="shared" si="66"/>
        <v>0</v>
      </c>
      <c r="N351" s="307">
        <f t="shared" si="67"/>
        <v>2.1282176021486521E-10</v>
      </c>
    </row>
    <row r="352" spans="2:14" x14ac:dyDescent="0.45">
      <c r="B352" s="306">
        <f t="shared" si="68"/>
        <v>54667</v>
      </c>
      <c r="C352" s="303">
        <f t="shared" si="69"/>
        <v>-1.2187229003757238E-10</v>
      </c>
      <c r="D352" s="303">
        <f t="shared" si="60"/>
        <v>0</v>
      </c>
      <c r="E352" s="303">
        <f t="shared" si="61"/>
        <v>0</v>
      </c>
      <c r="F352" s="303">
        <f t="shared" si="62"/>
        <v>0</v>
      </c>
      <c r="G352" s="307">
        <f t="shared" si="63"/>
        <v>-1.2187229003757238E-10</v>
      </c>
      <c r="I352" s="306">
        <f t="shared" si="70"/>
        <v>55671</v>
      </c>
      <c r="J352" s="303">
        <f t="shared" si="71"/>
        <v>2.1282176021486521E-10</v>
      </c>
      <c r="K352" s="303">
        <f t="shared" si="64"/>
        <v>0</v>
      </c>
      <c r="L352" s="303">
        <f t="shared" si="65"/>
        <v>0</v>
      </c>
      <c r="M352" s="303">
        <f t="shared" si="66"/>
        <v>0</v>
      </c>
      <c r="N352" s="307">
        <f t="shared" si="67"/>
        <v>2.1282176021486521E-10</v>
      </c>
    </row>
    <row r="353" spans="2:14" x14ac:dyDescent="0.45">
      <c r="B353" s="306">
        <f t="shared" si="68"/>
        <v>54697</v>
      </c>
      <c r="C353" s="303">
        <f t="shared" si="69"/>
        <v>-1.2187229003757238E-10</v>
      </c>
      <c r="D353" s="303">
        <f t="shared" si="60"/>
        <v>0</v>
      </c>
      <c r="E353" s="303">
        <f t="shared" si="61"/>
        <v>0</v>
      </c>
      <c r="F353" s="303">
        <f t="shared" si="62"/>
        <v>0</v>
      </c>
      <c r="G353" s="307">
        <f t="shared" si="63"/>
        <v>-1.2187229003757238E-10</v>
      </c>
      <c r="I353" s="306">
        <f t="shared" si="70"/>
        <v>55701</v>
      </c>
      <c r="J353" s="303">
        <f t="shared" si="71"/>
        <v>2.1282176021486521E-10</v>
      </c>
      <c r="K353" s="303">
        <f t="shared" si="64"/>
        <v>0</v>
      </c>
      <c r="L353" s="303">
        <f t="shared" si="65"/>
        <v>0</v>
      </c>
      <c r="M353" s="303">
        <f t="shared" si="66"/>
        <v>0</v>
      </c>
      <c r="N353" s="307">
        <f t="shared" si="67"/>
        <v>2.1282176021486521E-10</v>
      </c>
    </row>
    <row r="354" spans="2:14" x14ac:dyDescent="0.45">
      <c r="B354" s="306">
        <f t="shared" si="68"/>
        <v>54728</v>
      </c>
      <c r="C354" s="303">
        <f t="shared" si="69"/>
        <v>-1.2187229003757238E-10</v>
      </c>
      <c r="D354" s="303">
        <f t="shared" si="60"/>
        <v>0</v>
      </c>
      <c r="E354" s="303">
        <f t="shared" si="61"/>
        <v>0</v>
      </c>
      <c r="F354" s="303">
        <f t="shared" si="62"/>
        <v>0</v>
      </c>
      <c r="G354" s="307">
        <f t="shared" si="63"/>
        <v>-1.2187229003757238E-10</v>
      </c>
      <c r="I354" s="306">
        <f t="shared" si="70"/>
        <v>55732</v>
      </c>
      <c r="J354" s="303">
        <f t="shared" si="71"/>
        <v>2.1282176021486521E-10</v>
      </c>
      <c r="K354" s="303">
        <f t="shared" si="64"/>
        <v>0</v>
      </c>
      <c r="L354" s="303">
        <f t="shared" si="65"/>
        <v>0</v>
      </c>
      <c r="M354" s="303">
        <f t="shared" si="66"/>
        <v>0</v>
      </c>
      <c r="N354" s="307">
        <f t="shared" si="67"/>
        <v>2.1282176021486521E-10</v>
      </c>
    </row>
    <row r="355" spans="2:14" x14ac:dyDescent="0.45">
      <c r="B355" s="306">
        <f t="shared" si="68"/>
        <v>54758</v>
      </c>
      <c r="C355" s="303">
        <f t="shared" si="69"/>
        <v>-1.2187229003757238E-10</v>
      </c>
      <c r="D355" s="303">
        <f t="shared" si="60"/>
        <v>0</v>
      </c>
      <c r="E355" s="303">
        <f t="shared" si="61"/>
        <v>0</v>
      </c>
      <c r="F355" s="303">
        <f t="shared" si="62"/>
        <v>0</v>
      </c>
      <c r="G355" s="307">
        <f t="shared" si="63"/>
        <v>-1.2187229003757238E-10</v>
      </c>
      <c r="I355" s="306">
        <f t="shared" si="70"/>
        <v>55763</v>
      </c>
      <c r="J355" s="303">
        <f t="shared" si="71"/>
        <v>2.1282176021486521E-10</v>
      </c>
      <c r="K355" s="303">
        <f t="shared" si="64"/>
        <v>0</v>
      </c>
      <c r="L355" s="303">
        <f t="shared" si="65"/>
        <v>0</v>
      </c>
      <c r="M355" s="303">
        <f t="shared" si="66"/>
        <v>0</v>
      </c>
      <c r="N355" s="307">
        <f t="shared" si="67"/>
        <v>2.1282176021486521E-10</v>
      </c>
    </row>
    <row r="356" spans="2:14" x14ac:dyDescent="0.45">
      <c r="B356" s="306">
        <f t="shared" si="68"/>
        <v>54789</v>
      </c>
      <c r="C356" s="303">
        <f t="shared" si="69"/>
        <v>-1.2187229003757238E-10</v>
      </c>
      <c r="D356" s="303">
        <f t="shared" si="60"/>
        <v>0</v>
      </c>
      <c r="E356" s="303">
        <f t="shared" si="61"/>
        <v>0</v>
      </c>
      <c r="F356" s="303">
        <f t="shared" si="62"/>
        <v>0</v>
      </c>
      <c r="G356" s="307">
        <f t="shared" si="63"/>
        <v>-1.2187229003757238E-10</v>
      </c>
      <c r="I356" s="306">
        <f t="shared" si="70"/>
        <v>55793</v>
      </c>
      <c r="J356" s="303">
        <f t="shared" si="71"/>
        <v>2.1282176021486521E-10</v>
      </c>
      <c r="K356" s="303">
        <f t="shared" si="64"/>
        <v>0</v>
      </c>
      <c r="L356" s="303">
        <f t="shared" si="65"/>
        <v>0</v>
      </c>
      <c r="M356" s="303">
        <f t="shared" si="66"/>
        <v>0</v>
      </c>
      <c r="N356" s="307">
        <f t="shared" si="67"/>
        <v>2.1282176021486521E-10</v>
      </c>
    </row>
    <row r="357" spans="2:14" x14ac:dyDescent="0.45">
      <c r="B357" s="306">
        <f t="shared" si="68"/>
        <v>54820</v>
      </c>
      <c r="C357" s="303">
        <f t="shared" si="69"/>
        <v>-1.2187229003757238E-10</v>
      </c>
      <c r="D357" s="303">
        <f t="shared" si="60"/>
        <v>0</v>
      </c>
      <c r="E357" s="303">
        <f t="shared" si="61"/>
        <v>0</v>
      </c>
      <c r="F357" s="303">
        <f t="shared" si="62"/>
        <v>0</v>
      </c>
      <c r="G357" s="307">
        <f t="shared" si="63"/>
        <v>-1.2187229003757238E-10</v>
      </c>
      <c r="I357" s="306">
        <f t="shared" si="70"/>
        <v>55824</v>
      </c>
      <c r="J357" s="303">
        <f t="shared" si="71"/>
        <v>2.1282176021486521E-10</v>
      </c>
      <c r="K357" s="303">
        <f t="shared" si="64"/>
        <v>0</v>
      </c>
      <c r="L357" s="303">
        <f t="shared" si="65"/>
        <v>0</v>
      </c>
      <c r="M357" s="303">
        <f t="shared" si="66"/>
        <v>0</v>
      </c>
      <c r="N357" s="307">
        <f t="shared" si="67"/>
        <v>2.1282176021486521E-10</v>
      </c>
    </row>
    <row r="358" spans="2:14" x14ac:dyDescent="0.45">
      <c r="B358" s="306">
        <f t="shared" si="68"/>
        <v>54848</v>
      </c>
      <c r="C358" s="303">
        <f t="shared" si="69"/>
        <v>-1.2187229003757238E-10</v>
      </c>
      <c r="D358" s="303">
        <f t="shared" si="60"/>
        <v>0</v>
      </c>
      <c r="E358" s="303">
        <f t="shared" si="61"/>
        <v>0</v>
      </c>
      <c r="F358" s="303">
        <f t="shared" si="62"/>
        <v>0</v>
      </c>
      <c r="G358" s="307">
        <f t="shared" si="63"/>
        <v>-1.2187229003757238E-10</v>
      </c>
      <c r="I358" s="306">
        <f t="shared" si="70"/>
        <v>55854</v>
      </c>
      <c r="J358" s="303">
        <f t="shared" si="71"/>
        <v>2.1282176021486521E-10</v>
      </c>
      <c r="K358" s="303">
        <f t="shared" si="64"/>
        <v>0</v>
      </c>
      <c r="L358" s="303">
        <f t="shared" si="65"/>
        <v>0</v>
      </c>
      <c r="M358" s="303">
        <f t="shared" si="66"/>
        <v>0</v>
      </c>
      <c r="N358" s="307">
        <f t="shared" si="67"/>
        <v>2.1282176021486521E-10</v>
      </c>
    </row>
    <row r="359" spans="2:14" x14ac:dyDescent="0.45">
      <c r="B359" s="306">
        <f t="shared" si="68"/>
        <v>54879</v>
      </c>
      <c r="C359" s="303">
        <f t="shared" si="69"/>
        <v>-1.2187229003757238E-10</v>
      </c>
      <c r="D359" s="303">
        <f t="shared" si="60"/>
        <v>0</v>
      </c>
      <c r="E359" s="303">
        <f t="shared" si="61"/>
        <v>0</v>
      </c>
      <c r="F359" s="303">
        <f t="shared" si="62"/>
        <v>0</v>
      </c>
      <c r="G359" s="307">
        <f t="shared" si="63"/>
        <v>-1.2187229003757238E-10</v>
      </c>
      <c r="I359" s="306">
        <f t="shared" si="70"/>
        <v>55885</v>
      </c>
      <c r="J359" s="303">
        <f t="shared" si="71"/>
        <v>2.1282176021486521E-10</v>
      </c>
      <c r="K359" s="303">
        <f t="shared" si="64"/>
        <v>0</v>
      </c>
      <c r="L359" s="303">
        <f t="shared" si="65"/>
        <v>0</v>
      </c>
      <c r="M359" s="303">
        <f t="shared" si="66"/>
        <v>0</v>
      </c>
      <c r="N359" s="307">
        <f t="shared" si="67"/>
        <v>2.1282176021486521E-10</v>
      </c>
    </row>
    <row r="360" spans="2:14" x14ac:dyDescent="0.45">
      <c r="B360" s="306">
        <f t="shared" si="68"/>
        <v>54909</v>
      </c>
      <c r="C360" s="303">
        <f t="shared" si="69"/>
        <v>-1.2187229003757238E-10</v>
      </c>
      <c r="D360" s="303">
        <f t="shared" si="60"/>
        <v>0</v>
      </c>
      <c r="E360" s="303">
        <f t="shared" si="61"/>
        <v>0</v>
      </c>
      <c r="F360" s="303">
        <f t="shared" si="62"/>
        <v>0</v>
      </c>
      <c r="G360" s="307">
        <f t="shared" si="63"/>
        <v>-1.2187229003757238E-10</v>
      </c>
      <c r="I360" s="306">
        <f t="shared" si="70"/>
        <v>55916</v>
      </c>
      <c r="J360" s="303">
        <f t="shared" si="71"/>
        <v>2.1282176021486521E-10</v>
      </c>
      <c r="K360" s="303">
        <f t="shared" si="64"/>
        <v>0</v>
      </c>
      <c r="L360" s="303">
        <f t="shared" si="65"/>
        <v>0</v>
      </c>
      <c r="M360" s="303">
        <f t="shared" si="66"/>
        <v>0</v>
      </c>
      <c r="N360" s="307">
        <f t="shared" si="67"/>
        <v>2.1282176021486521E-10</v>
      </c>
    </row>
    <row r="361" spans="2:14" x14ac:dyDescent="0.45">
      <c r="B361" s="306">
        <f t="shared" si="68"/>
        <v>54940</v>
      </c>
      <c r="C361" s="303">
        <f t="shared" si="69"/>
        <v>-1.2187229003757238E-10</v>
      </c>
      <c r="D361" s="303">
        <f t="shared" si="60"/>
        <v>0</v>
      </c>
      <c r="E361" s="303">
        <f t="shared" si="61"/>
        <v>0</v>
      </c>
      <c r="F361" s="303">
        <f t="shared" si="62"/>
        <v>0</v>
      </c>
      <c r="G361" s="307">
        <f t="shared" si="63"/>
        <v>-1.2187229003757238E-10</v>
      </c>
      <c r="I361" s="306">
        <f t="shared" si="70"/>
        <v>55944</v>
      </c>
      <c r="J361" s="303">
        <f t="shared" si="71"/>
        <v>2.1282176021486521E-10</v>
      </c>
      <c r="K361" s="303">
        <f t="shared" si="64"/>
        <v>0</v>
      </c>
      <c r="L361" s="303">
        <f t="shared" si="65"/>
        <v>0</v>
      </c>
      <c r="M361" s="303">
        <f t="shared" si="66"/>
        <v>0</v>
      </c>
      <c r="N361" s="307">
        <f t="shared" si="67"/>
        <v>2.1282176021486521E-10</v>
      </c>
    </row>
    <row r="362" spans="2:14" x14ac:dyDescent="0.45">
      <c r="B362" s="306">
        <f t="shared" si="68"/>
        <v>54970</v>
      </c>
      <c r="C362" s="303">
        <f t="shared" si="69"/>
        <v>-1.2187229003757238E-10</v>
      </c>
      <c r="D362" s="303">
        <f t="shared" si="60"/>
        <v>0</v>
      </c>
      <c r="E362" s="303">
        <f t="shared" si="61"/>
        <v>0</v>
      </c>
      <c r="F362" s="303">
        <f t="shared" si="62"/>
        <v>0</v>
      </c>
      <c r="G362" s="307">
        <f t="shared" si="63"/>
        <v>-1.2187229003757238E-10</v>
      </c>
      <c r="I362" s="306">
        <f t="shared" si="70"/>
        <v>55975</v>
      </c>
      <c r="J362" s="303">
        <f t="shared" si="71"/>
        <v>2.1282176021486521E-10</v>
      </c>
      <c r="K362" s="303">
        <f t="shared" si="64"/>
        <v>0</v>
      </c>
      <c r="L362" s="303">
        <f t="shared" si="65"/>
        <v>0</v>
      </c>
      <c r="M362" s="303">
        <f t="shared" si="66"/>
        <v>0</v>
      </c>
      <c r="N362" s="307">
        <f t="shared" si="67"/>
        <v>2.1282176021486521E-10</v>
      </c>
    </row>
    <row r="363" spans="2:14" x14ac:dyDescent="0.45">
      <c r="B363" s="306">
        <f t="shared" si="68"/>
        <v>55001</v>
      </c>
      <c r="C363" s="303">
        <f t="shared" si="69"/>
        <v>-1.2187229003757238E-10</v>
      </c>
      <c r="D363" s="303">
        <f t="shared" si="60"/>
        <v>0</v>
      </c>
      <c r="E363" s="303">
        <f t="shared" si="61"/>
        <v>0</v>
      </c>
      <c r="F363" s="303">
        <f t="shared" si="62"/>
        <v>0</v>
      </c>
      <c r="G363" s="307">
        <f t="shared" si="63"/>
        <v>-1.2187229003757238E-10</v>
      </c>
      <c r="I363" s="306">
        <f t="shared" si="70"/>
        <v>56005</v>
      </c>
      <c r="J363" s="303">
        <f t="shared" si="71"/>
        <v>2.1282176021486521E-10</v>
      </c>
      <c r="K363" s="303">
        <f t="shared" si="64"/>
        <v>0</v>
      </c>
      <c r="L363" s="303">
        <f t="shared" si="65"/>
        <v>0</v>
      </c>
      <c r="M363" s="303">
        <f t="shared" si="66"/>
        <v>0</v>
      </c>
      <c r="N363" s="307">
        <f t="shared" si="67"/>
        <v>2.1282176021486521E-10</v>
      </c>
    </row>
    <row r="364" spans="2:14" x14ac:dyDescent="0.45">
      <c r="B364" s="306">
        <f t="shared" si="68"/>
        <v>55032</v>
      </c>
      <c r="C364" s="303">
        <f t="shared" si="69"/>
        <v>-1.2187229003757238E-10</v>
      </c>
      <c r="D364" s="303">
        <f t="shared" si="60"/>
        <v>0</v>
      </c>
      <c r="E364" s="303">
        <f t="shared" si="61"/>
        <v>0</v>
      </c>
      <c r="F364" s="303">
        <f t="shared" si="62"/>
        <v>0</v>
      </c>
      <c r="G364" s="307">
        <f t="shared" si="63"/>
        <v>-1.2187229003757238E-10</v>
      </c>
      <c r="I364" s="306">
        <f t="shared" si="70"/>
        <v>56036</v>
      </c>
      <c r="J364" s="303">
        <f t="shared" si="71"/>
        <v>2.1282176021486521E-10</v>
      </c>
      <c r="K364" s="303">
        <f t="shared" si="64"/>
        <v>0</v>
      </c>
      <c r="L364" s="303">
        <f t="shared" si="65"/>
        <v>0</v>
      </c>
      <c r="M364" s="303">
        <f t="shared" si="66"/>
        <v>0</v>
      </c>
      <c r="N364" s="307">
        <f t="shared" si="67"/>
        <v>2.1282176021486521E-10</v>
      </c>
    </row>
    <row r="365" spans="2:14" x14ac:dyDescent="0.45">
      <c r="B365" s="306">
        <f t="shared" si="68"/>
        <v>55062</v>
      </c>
      <c r="C365" s="303">
        <f t="shared" si="69"/>
        <v>-1.2187229003757238E-10</v>
      </c>
      <c r="D365" s="303">
        <f t="shared" si="60"/>
        <v>0</v>
      </c>
      <c r="E365" s="303">
        <f t="shared" si="61"/>
        <v>0</v>
      </c>
      <c r="F365" s="303">
        <f t="shared" si="62"/>
        <v>0</v>
      </c>
      <c r="G365" s="307">
        <f t="shared" si="63"/>
        <v>-1.2187229003757238E-10</v>
      </c>
      <c r="I365" s="306">
        <f t="shared" si="70"/>
        <v>56066</v>
      </c>
      <c r="J365" s="303">
        <f t="shared" si="71"/>
        <v>2.1282176021486521E-10</v>
      </c>
      <c r="K365" s="303">
        <f t="shared" si="64"/>
        <v>0</v>
      </c>
      <c r="L365" s="303">
        <f t="shared" si="65"/>
        <v>0</v>
      </c>
      <c r="M365" s="303">
        <f t="shared" si="66"/>
        <v>0</v>
      </c>
      <c r="N365" s="307">
        <f t="shared" si="67"/>
        <v>2.1282176021486521E-10</v>
      </c>
    </row>
    <row r="366" spans="2:14" x14ac:dyDescent="0.45">
      <c r="B366" s="306">
        <f t="shared" si="68"/>
        <v>55093</v>
      </c>
      <c r="C366" s="303">
        <f t="shared" si="69"/>
        <v>-1.2187229003757238E-10</v>
      </c>
      <c r="D366" s="303">
        <f t="shared" si="60"/>
        <v>0</v>
      </c>
      <c r="E366" s="303">
        <f t="shared" si="61"/>
        <v>0</v>
      </c>
      <c r="F366" s="303">
        <f t="shared" si="62"/>
        <v>0</v>
      </c>
      <c r="G366" s="307">
        <f t="shared" si="63"/>
        <v>-1.2187229003757238E-10</v>
      </c>
      <c r="I366" s="306">
        <f t="shared" si="70"/>
        <v>56097</v>
      </c>
      <c r="J366" s="303">
        <f t="shared" si="71"/>
        <v>2.1282176021486521E-10</v>
      </c>
      <c r="K366" s="303">
        <f t="shared" si="64"/>
        <v>0</v>
      </c>
      <c r="L366" s="303">
        <f t="shared" si="65"/>
        <v>0</v>
      </c>
      <c r="M366" s="303">
        <f t="shared" si="66"/>
        <v>0</v>
      </c>
      <c r="N366" s="307">
        <f t="shared" si="67"/>
        <v>2.1282176021486521E-10</v>
      </c>
    </row>
    <row r="367" spans="2:14" x14ac:dyDescent="0.45">
      <c r="B367" s="306">
        <f t="shared" si="68"/>
        <v>55123</v>
      </c>
      <c r="C367" s="303">
        <f t="shared" si="69"/>
        <v>-1.2187229003757238E-10</v>
      </c>
      <c r="D367" s="303">
        <f t="shared" si="60"/>
        <v>0</v>
      </c>
      <c r="E367" s="303">
        <f t="shared" si="61"/>
        <v>0</v>
      </c>
      <c r="F367" s="303">
        <f t="shared" si="62"/>
        <v>0</v>
      </c>
      <c r="G367" s="307">
        <f t="shared" si="63"/>
        <v>-1.2187229003757238E-10</v>
      </c>
      <c r="I367" s="306">
        <f t="shared" si="70"/>
        <v>56128</v>
      </c>
      <c r="J367" s="303">
        <f t="shared" si="71"/>
        <v>2.1282176021486521E-10</v>
      </c>
      <c r="K367" s="303">
        <f t="shared" si="64"/>
        <v>0</v>
      </c>
      <c r="L367" s="303">
        <f t="shared" si="65"/>
        <v>0</v>
      </c>
      <c r="M367" s="303">
        <f t="shared" si="66"/>
        <v>0</v>
      </c>
      <c r="N367" s="307">
        <f t="shared" si="67"/>
        <v>2.1282176021486521E-10</v>
      </c>
    </row>
    <row r="368" spans="2:14" x14ac:dyDescent="0.45">
      <c r="B368" s="306">
        <f t="shared" si="68"/>
        <v>55154</v>
      </c>
      <c r="C368" s="303">
        <f t="shared" si="69"/>
        <v>-1.2187229003757238E-10</v>
      </c>
      <c r="D368" s="303">
        <f t="shared" si="60"/>
        <v>0</v>
      </c>
      <c r="E368" s="303">
        <f t="shared" si="61"/>
        <v>0</v>
      </c>
      <c r="F368" s="303">
        <f t="shared" si="62"/>
        <v>0</v>
      </c>
      <c r="G368" s="307">
        <f t="shared" si="63"/>
        <v>-1.2187229003757238E-10</v>
      </c>
      <c r="I368" s="306">
        <f t="shared" si="70"/>
        <v>56158</v>
      </c>
      <c r="J368" s="303">
        <f t="shared" si="71"/>
        <v>2.1282176021486521E-10</v>
      </c>
      <c r="K368" s="303">
        <f t="shared" si="64"/>
        <v>0</v>
      </c>
      <c r="L368" s="303">
        <f t="shared" si="65"/>
        <v>0</v>
      </c>
      <c r="M368" s="303">
        <f t="shared" si="66"/>
        <v>0</v>
      </c>
      <c r="N368" s="307">
        <f t="shared" si="67"/>
        <v>2.1282176021486521E-10</v>
      </c>
    </row>
    <row r="369" spans="2:14" x14ac:dyDescent="0.45">
      <c r="B369" s="306">
        <f t="shared" si="68"/>
        <v>55185</v>
      </c>
      <c r="C369" s="303">
        <f t="shared" si="69"/>
        <v>-1.2187229003757238E-10</v>
      </c>
      <c r="D369" s="303">
        <f t="shared" si="60"/>
        <v>0</v>
      </c>
      <c r="E369" s="303">
        <f t="shared" si="61"/>
        <v>0</v>
      </c>
      <c r="F369" s="303">
        <f t="shared" si="62"/>
        <v>0</v>
      </c>
      <c r="G369" s="307">
        <f t="shared" si="63"/>
        <v>-1.2187229003757238E-10</v>
      </c>
      <c r="I369" s="306">
        <f t="shared" si="70"/>
        <v>56189</v>
      </c>
      <c r="J369" s="303">
        <f t="shared" si="71"/>
        <v>2.1282176021486521E-10</v>
      </c>
      <c r="K369" s="303">
        <f t="shared" si="64"/>
        <v>0</v>
      </c>
      <c r="L369" s="303">
        <f t="shared" si="65"/>
        <v>0</v>
      </c>
      <c r="M369" s="303">
        <f t="shared" si="66"/>
        <v>0</v>
      </c>
      <c r="N369" s="307">
        <f t="shared" si="67"/>
        <v>2.1282176021486521E-10</v>
      </c>
    </row>
    <row r="370" spans="2:14" x14ac:dyDescent="0.45">
      <c r="B370" s="306">
        <f t="shared" si="68"/>
        <v>55213</v>
      </c>
      <c r="C370" s="303">
        <f t="shared" si="69"/>
        <v>-1.2187229003757238E-10</v>
      </c>
      <c r="D370" s="303">
        <f t="shared" si="60"/>
        <v>0</v>
      </c>
      <c r="E370" s="303">
        <f t="shared" si="61"/>
        <v>0</v>
      </c>
      <c r="F370" s="303">
        <f t="shared" si="62"/>
        <v>0</v>
      </c>
      <c r="G370" s="307">
        <f t="shared" si="63"/>
        <v>-1.2187229003757238E-10</v>
      </c>
      <c r="I370" s="306">
        <f t="shared" si="70"/>
        <v>56219</v>
      </c>
      <c r="J370" s="303">
        <f t="shared" si="71"/>
        <v>2.1282176021486521E-10</v>
      </c>
      <c r="K370" s="303">
        <f t="shared" si="64"/>
        <v>0</v>
      </c>
      <c r="L370" s="303">
        <f t="shared" si="65"/>
        <v>0</v>
      </c>
      <c r="M370" s="303">
        <f t="shared" si="66"/>
        <v>0</v>
      </c>
      <c r="N370" s="307">
        <f t="shared" si="67"/>
        <v>2.1282176021486521E-10</v>
      </c>
    </row>
    <row r="371" spans="2:14" x14ac:dyDescent="0.45">
      <c r="B371" s="306">
        <f t="shared" si="68"/>
        <v>55244</v>
      </c>
      <c r="C371" s="303">
        <f t="shared" si="69"/>
        <v>-1.2187229003757238E-10</v>
      </c>
      <c r="D371" s="303">
        <f t="shared" si="60"/>
        <v>0</v>
      </c>
      <c r="E371" s="303">
        <f t="shared" si="61"/>
        <v>0</v>
      </c>
      <c r="F371" s="303">
        <f t="shared" si="62"/>
        <v>0</v>
      </c>
      <c r="G371" s="307">
        <f t="shared" si="63"/>
        <v>-1.2187229003757238E-10</v>
      </c>
      <c r="I371" s="306">
        <f t="shared" si="70"/>
        <v>56250</v>
      </c>
      <c r="J371" s="303">
        <f t="shared" si="71"/>
        <v>2.1282176021486521E-10</v>
      </c>
      <c r="K371" s="303">
        <f t="shared" si="64"/>
        <v>0</v>
      </c>
      <c r="L371" s="303">
        <f t="shared" si="65"/>
        <v>0</v>
      </c>
      <c r="M371" s="303">
        <f t="shared" si="66"/>
        <v>0</v>
      </c>
      <c r="N371" s="307">
        <f t="shared" si="67"/>
        <v>2.1282176021486521E-10</v>
      </c>
    </row>
    <row r="372" spans="2:14" x14ac:dyDescent="0.45">
      <c r="B372" s="306">
        <f t="shared" si="68"/>
        <v>55274</v>
      </c>
      <c r="C372" s="303">
        <f t="shared" si="69"/>
        <v>-1.2187229003757238E-10</v>
      </c>
      <c r="D372" s="303">
        <f t="shared" si="60"/>
        <v>0</v>
      </c>
      <c r="E372" s="303">
        <f t="shared" si="61"/>
        <v>0</v>
      </c>
      <c r="F372" s="303">
        <f t="shared" si="62"/>
        <v>0</v>
      </c>
      <c r="G372" s="307">
        <f t="shared" si="63"/>
        <v>-1.2187229003757238E-10</v>
      </c>
      <c r="I372" s="306">
        <f t="shared" si="70"/>
        <v>56281</v>
      </c>
      <c r="J372" s="303">
        <f t="shared" si="71"/>
        <v>2.1282176021486521E-10</v>
      </c>
      <c r="K372" s="303">
        <f t="shared" si="64"/>
        <v>0</v>
      </c>
      <c r="L372" s="303">
        <f t="shared" si="65"/>
        <v>0</v>
      </c>
      <c r="M372" s="303">
        <f t="shared" si="66"/>
        <v>0</v>
      </c>
      <c r="N372" s="307">
        <f t="shared" si="67"/>
        <v>2.1282176021486521E-10</v>
      </c>
    </row>
    <row r="373" spans="2:14" x14ac:dyDescent="0.45">
      <c r="B373" s="306">
        <f t="shared" si="68"/>
        <v>55305</v>
      </c>
      <c r="C373" s="303">
        <f t="shared" si="69"/>
        <v>-1.2187229003757238E-10</v>
      </c>
      <c r="D373" s="303">
        <f t="shared" si="60"/>
        <v>0</v>
      </c>
      <c r="E373" s="303">
        <f t="shared" si="61"/>
        <v>0</v>
      </c>
      <c r="F373" s="303">
        <f t="shared" si="62"/>
        <v>0</v>
      </c>
      <c r="G373" s="307">
        <f t="shared" si="63"/>
        <v>-1.2187229003757238E-10</v>
      </c>
      <c r="I373" s="306">
        <f t="shared" si="70"/>
        <v>56309</v>
      </c>
      <c r="J373" s="303">
        <f t="shared" si="71"/>
        <v>2.1282176021486521E-10</v>
      </c>
      <c r="K373" s="303">
        <f t="shared" si="64"/>
        <v>0</v>
      </c>
      <c r="L373" s="303">
        <f t="shared" si="65"/>
        <v>0</v>
      </c>
      <c r="M373" s="303">
        <f t="shared" si="66"/>
        <v>0</v>
      </c>
      <c r="N373" s="307">
        <f t="shared" si="67"/>
        <v>2.1282176021486521E-10</v>
      </c>
    </row>
    <row r="374" spans="2:14" x14ac:dyDescent="0.45">
      <c r="B374" s="306">
        <f t="shared" si="68"/>
        <v>55335</v>
      </c>
      <c r="C374" s="303">
        <f t="shared" si="69"/>
        <v>-1.2187229003757238E-10</v>
      </c>
      <c r="D374" s="303">
        <f t="shared" si="60"/>
        <v>0</v>
      </c>
      <c r="E374" s="303">
        <f t="shared" si="61"/>
        <v>0</v>
      </c>
      <c r="F374" s="303">
        <f t="shared" si="62"/>
        <v>0</v>
      </c>
      <c r="G374" s="307">
        <f t="shared" si="63"/>
        <v>-1.2187229003757238E-10</v>
      </c>
      <c r="I374" s="306">
        <f t="shared" si="70"/>
        <v>56340</v>
      </c>
      <c r="J374" s="303">
        <f t="shared" si="71"/>
        <v>2.1282176021486521E-10</v>
      </c>
      <c r="K374" s="303">
        <f t="shared" si="64"/>
        <v>0</v>
      </c>
      <c r="L374" s="303">
        <f t="shared" si="65"/>
        <v>0</v>
      </c>
      <c r="M374" s="303">
        <f t="shared" si="66"/>
        <v>0</v>
      </c>
      <c r="N374" s="307">
        <f t="shared" si="67"/>
        <v>2.1282176021486521E-10</v>
      </c>
    </row>
    <row r="375" spans="2:14" x14ac:dyDescent="0.45">
      <c r="B375" s="306">
        <f t="shared" si="68"/>
        <v>55366</v>
      </c>
      <c r="C375" s="303">
        <f t="shared" si="69"/>
        <v>-1.2187229003757238E-10</v>
      </c>
      <c r="D375" s="303">
        <f t="shared" si="60"/>
        <v>0</v>
      </c>
      <c r="E375" s="303">
        <f t="shared" si="61"/>
        <v>0</v>
      </c>
      <c r="F375" s="303">
        <f t="shared" si="62"/>
        <v>0</v>
      </c>
      <c r="G375" s="307">
        <f t="shared" si="63"/>
        <v>-1.2187229003757238E-10</v>
      </c>
      <c r="I375" s="306">
        <f t="shared" si="70"/>
        <v>56370</v>
      </c>
      <c r="J375" s="303">
        <f t="shared" si="71"/>
        <v>2.1282176021486521E-10</v>
      </c>
      <c r="K375" s="303">
        <f t="shared" si="64"/>
        <v>0</v>
      </c>
      <c r="L375" s="303">
        <f t="shared" si="65"/>
        <v>0</v>
      </c>
      <c r="M375" s="303">
        <f t="shared" si="66"/>
        <v>0</v>
      </c>
      <c r="N375" s="307">
        <f t="shared" si="67"/>
        <v>2.1282176021486521E-10</v>
      </c>
    </row>
    <row r="376" spans="2:14" x14ac:dyDescent="0.45">
      <c r="B376" s="306">
        <f t="shared" si="68"/>
        <v>55397</v>
      </c>
      <c r="C376" s="303">
        <f t="shared" si="69"/>
        <v>-1.2187229003757238E-10</v>
      </c>
      <c r="D376" s="303">
        <f t="shared" si="60"/>
        <v>0</v>
      </c>
      <c r="E376" s="303">
        <f t="shared" si="61"/>
        <v>0</v>
      </c>
      <c r="F376" s="303">
        <f t="shared" si="62"/>
        <v>0</v>
      </c>
      <c r="G376" s="307">
        <f t="shared" si="63"/>
        <v>-1.2187229003757238E-10</v>
      </c>
      <c r="I376" s="306">
        <f t="shared" si="70"/>
        <v>56401</v>
      </c>
      <c r="J376" s="303">
        <f t="shared" si="71"/>
        <v>2.1282176021486521E-10</v>
      </c>
      <c r="K376" s="303">
        <f t="shared" si="64"/>
        <v>0</v>
      </c>
      <c r="L376" s="303">
        <f t="shared" si="65"/>
        <v>0</v>
      </c>
      <c r="M376" s="303">
        <f t="shared" si="66"/>
        <v>0</v>
      </c>
      <c r="N376" s="307">
        <f t="shared" si="67"/>
        <v>2.1282176021486521E-10</v>
      </c>
    </row>
    <row r="377" spans="2:14" x14ac:dyDescent="0.45">
      <c r="B377" s="306">
        <f t="shared" si="68"/>
        <v>55427</v>
      </c>
      <c r="C377" s="303">
        <f t="shared" si="69"/>
        <v>-1.2187229003757238E-10</v>
      </c>
      <c r="D377" s="303">
        <f t="shared" si="60"/>
        <v>0</v>
      </c>
      <c r="E377" s="303">
        <f t="shared" si="61"/>
        <v>0</v>
      </c>
      <c r="F377" s="303">
        <f t="shared" si="62"/>
        <v>0</v>
      </c>
      <c r="G377" s="307">
        <f t="shared" si="63"/>
        <v>-1.2187229003757238E-10</v>
      </c>
      <c r="I377" s="306">
        <f t="shared" si="70"/>
        <v>56431</v>
      </c>
      <c r="J377" s="303">
        <f t="shared" si="71"/>
        <v>2.1282176021486521E-10</v>
      </c>
      <c r="K377" s="303">
        <f t="shared" si="64"/>
        <v>0</v>
      </c>
      <c r="L377" s="303">
        <f t="shared" si="65"/>
        <v>0</v>
      </c>
      <c r="M377" s="303">
        <f t="shared" si="66"/>
        <v>0</v>
      </c>
      <c r="N377" s="307">
        <f t="shared" si="67"/>
        <v>2.1282176021486521E-10</v>
      </c>
    </row>
    <row r="378" spans="2:14" x14ac:dyDescent="0.45">
      <c r="B378" s="306">
        <f t="shared" si="68"/>
        <v>55458</v>
      </c>
      <c r="C378" s="303">
        <f t="shared" si="69"/>
        <v>-1.2187229003757238E-10</v>
      </c>
      <c r="D378" s="303">
        <f t="shared" si="60"/>
        <v>0</v>
      </c>
      <c r="E378" s="303">
        <f t="shared" si="61"/>
        <v>0</v>
      </c>
      <c r="F378" s="303">
        <f t="shared" si="62"/>
        <v>0</v>
      </c>
      <c r="G378" s="307">
        <f t="shared" si="63"/>
        <v>-1.2187229003757238E-10</v>
      </c>
      <c r="I378" s="306">
        <f t="shared" si="70"/>
        <v>56462</v>
      </c>
      <c r="J378" s="303">
        <f t="shared" si="71"/>
        <v>2.1282176021486521E-10</v>
      </c>
      <c r="K378" s="303">
        <f t="shared" si="64"/>
        <v>0</v>
      </c>
      <c r="L378" s="303">
        <f t="shared" si="65"/>
        <v>0</v>
      </c>
      <c r="M378" s="303">
        <f t="shared" si="66"/>
        <v>0</v>
      </c>
      <c r="N378" s="307">
        <f t="shared" si="67"/>
        <v>2.1282176021486521E-10</v>
      </c>
    </row>
    <row r="379" spans="2:14" x14ac:dyDescent="0.45">
      <c r="B379" s="306">
        <f t="shared" si="68"/>
        <v>55488</v>
      </c>
      <c r="C379" s="303">
        <f t="shared" si="69"/>
        <v>-1.2187229003757238E-10</v>
      </c>
      <c r="D379" s="303">
        <f t="shared" si="60"/>
        <v>0</v>
      </c>
      <c r="E379" s="303">
        <f t="shared" si="61"/>
        <v>0</v>
      </c>
      <c r="F379" s="303">
        <f t="shared" si="62"/>
        <v>0</v>
      </c>
      <c r="G379" s="307">
        <f t="shared" si="63"/>
        <v>-1.2187229003757238E-10</v>
      </c>
      <c r="I379" s="306">
        <f t="shared" si="70"/>
        <v>56493</v>
      </c>
      <c r="J379" s="303">
        <f t="shared" si="71"/>
        <v>2.1282176021486521E-10</v>
      </c>
      <c r="K379" s="303">
        <f t="shared" si="64"/>
        <v>0</v>
      </c>
      <c r="L379" s="303">
        <f t="shared" si="65"/>
        <v>0</v>
      </c>
      <c r="M379" s="303">
        <f t="shared" si="66"/>
        <v>0</v>
      </c>
      <c r="N379" s="307">
        <f t="shared" si="67"/>
        <v>2.1282176021486521E-10</v>
      </c>
    </row>
    <row r="380" spans="2:14" x14ac:dyDescent="0.45">
      <c r="B380" s="306">
        <f t="shared" si="68"/>
        <v>55519</v>
      </c>
      <c r="C380" s="303">
        <f t="shared" si="69"/>
        <v>-1.2187229003757238E-10</v>
      </c>
      <c r="D380" s="303">
        <f t="shared" si="60"/>
        <v>0</v>
      </c>
      <c r="E380" s="303">
        <f t="shared" si="61"/>
        <v>0</v>
      </c>
      <c r="F380" s="303">
        <f t="shared" si="62"/>
        <v>0</v>
      </c>
      <c r="G380" s="307">
        <f t="shared" si="63"/>
        <v>-1.2187229003757238E-10</v>
      </c>
      <c r="I380" s="306">
        <f t="shared" si="70"/>
        <v>56523</v>
      </c>
      <c r="J380" s="303">
        <f t="shared" si="71"/>
        <v>2.1282176021486521E-10</v>
      </c>
      <c r="K380" s="303">
        <f t="shared" si="64"/>
        <v>0</v>
      </c>
      <c r="L380" s="303">
        <f t="shared" si="65"/>
        <v>0</v>
      </c>
      <c r="M380" s="303">
        <f t="shared" si="66"/>
        <v>0</v>
      </c>
      <c r="N380" s="307">
        <f t="shared" si="67"/>
        <v>2.1282176021486521E-10</v>
      </c>
    </row>
    <row r="381" spans="2:14" x14ac:dyDescent="0.45">
      <c r="B381" s="306">
        <f t="shared" si="68"/>
        <v>55550</v>
      </c>
      <c r="C381" s="303">
        <f t="shared" si="69"/>
        <v>-1.2187229003757238E-10</v>
      </c>
      <c r="D381" s="303">
        <f t="shared" si="60"/>
        <v>0</v>
      </c>
      <c r="E381" s="303">
        <f t="shared" si="61"/>
        <v>0</v>
      </c>
      <c r="F381" s="303">
        <f t="shared" si="62"/>
        <v>0</v>
      </c>
      <c r="G381" s="307">
        <f t="shared" si="63"/>
        <v>-1.2187229003757238E-10</v>
      </c>
      <c r="I381" s="306">
        <f t="shared" si="70"/>
        <v>56554</v>
      </c>
      <c r="J381" s="303">
        <f t="shared" si="71"/>
        <v>2.1282176021486521E-10</v>
      </c>
      <c r="K381" s="303">
        <f t="shared" si="64"/>
        <v>0</v>
      </c>
      <c r="L381" s="303">
        <f t="shared" si="65"/>
        <v>0</v>
      </c>
      <c r="M381" s="303">
        <f t="shared" si="66"/>
        <v>0</v>
      </c>
      <c r="N381" s="307">
        <f t="shared" si="67"/>
        <v>2.1282176021486521E-10</v>
      </c>
    </row>
    <row r="382" spans="2:14" x14ac:dyDescent="0.45">
      <c r="B382" s="306">
        <f t="shared" si="68"/>
        <v>55579</v>
      </c>
      <c r="C382" s="303">
        <f t="shared" si="69"/>
        <v>-1.2187229003757238E-10</v>
      </c>
      <c r="D382" s="303">
        <f t="shared" si="60"/>
        <v>0</v>
      </c>
      <c r="E382" s="303">
        <f t="shared" si="61"/>
        <v>0</v>
      </c>
      <c r="F382" s="303">
        <f t="shared" si="62"/>
        <v>0</v>
      </c>
      <c r="G382" s="307">
        <f t="shared" si="63"/>
        <v>-1.2187229003757238E-10</v>
      </c>
      <c r="I382" s="306">
        <f t="shared" si="70"/>
        <v>56584</v>
      </c>
      <c r="J382" s="303">
        <f t="shared" si="71"/>
        <v>2.1282176021486521E-10</v>
      </c>
      <c r="K382" s="303">
        <f t="shared" si="64"/>
        <v>0</v>
      </c>
      <c r="L382" s="303">
        <f t="shared" si="65"/>
        <v>0</v>
      </c>
      <c r="M382" s="303">
        <f t="shared" si="66"/>
        <v>0</v>
      </c>
      <c r="N382" s="307">
        <f t="shared" si="67"/>
        <v>2.1282176021486521E-10</v>
      </c>
    </row>
    <row r="383" spans="2:14" x14ac:dyDescent="0.45">
      <c r="B383" s="306">
        <f t="shared" si="68"/>
        <v>55610</v>
      </c>
      <c r="C383" s="303">
        <f t="shared" si="69"/>
        <v>-1.2187229003757238E-10</v>
      </c>
      <c r="D383" s="303">
        <f t="shared" si="60"/>
        <v>0</v>
      </c>
      <c r="E383" s="303">
        <f t="shared" si="61"/>
        <v>0</v>
      </c>
      <c r="F383" s="303">
        <f t="shared" si="62"/>
        <v>0</v>
      </c>
      <c r="G383" s="307">
        <f t="shared" si="63"/>
        <v>-1.2187229003757238E-10</v>
      </c>
      <c r="I383" s="306">
        <f t="shared" si="70"/>
        <v>56615</v>
      </c>
      <c r="J383" s="303">
        <f t="shared" si="71"/>
        <v>2.1282176021486521E-10</v>
      </c>
      <c r="K383" s="303">
        <f t="shared" si="64"/>
        <v>0</v>
      </c>
      <c r="L383" s="303">
        <f t="shared" si="65"/>
        <v>0</v>
      </c>
      <c r="M383" s="303">
        <f t="shared" si="66"/>
        <v>0</v>
      </c>
      <c r="N383" s="307">
        <f t="shared" si="67"/>
        <v>2.1282176021486521E-10</v>
      </c>
    </row>
    <row r="384" spans="2:14" x14ac:dyDescent="0.45">
      <c r="B384" s="306">
        <f t="shared" si="68"/>
        <v>55640</v>
      </c>
      <c r="C384" s="303">
        <f t="shared" si="69"/>
        <v>-1.2187229003757238E-10</v>
      </c>
      <c r="D384" s="303">
        <f t="shared" si="60"/>
        <v>0</v>
      </c>
      <c r="E384" s="303">
        <f t="shared" si="61"/>
        <v>0</v>
      </c>
      <c r="F384" s="303">
        <f t="shared" si="62"/>
        <v>0</v>
      </c>
      <c r="G384" s="307">
        <f t="shared" si="63"/>
        <v>-1.2187229003757238E-10</v>
      </c>
      <c r="I384" s="306">
        <f t="shared" si="70"/>
        <v>56646</v>
      </c>
      <c r="J384" s="303">
        <f t="shared" si="71"/>
        <v>2.1282176021486521E-10</v>
      </c>
      <c r="K384" s="303">
        <f t="shared" si="64"/>
        <v>0</v>
      </c>
      <c r="L384" s="303">
        <f t="shared" si="65"/>
        <v>0</v>
      </c>
      <c r="M384" s="303">
        <f t="shared" si="66"/>
        <v>0</v>
      </c>
      <c r="N384" s="307">
        <f t="shared" si="67"/>
        <v>2.1282176021486521E-10</v>
      </c>
    </row>
    <row r="385" spans="2:14" x14ac:dyDescent="0.45">
      <c r="B385" s="306">
        <f t="shared" si="68"/>
        <v>55671</v>
      </c>
      <c r="C385" s="303">
        <f t="shared" si="69"/>
        <v>-1.2187229003757238E-10</v>
      </c>
      <c r="D385" s="303">
        <f t="shared" si="60"/>
        <v>0</v>
      </c>
      <c r="E385" s="303">
        <f t="shared" si="61"/>
        <v>0</v>
      </c>
      <c r="F385" s="303">
        <f t="shared" si="62"/>
        <v>0</v>
      </c>
      <c r="G385" s="307">
        <f t="shared" si="63"/>
        <v>-1.2187229003757238E-10</v>
      </c>
      <c r="I385" s="306">
        <f t="shared" si="70"/>
        <v>56674</v>
      </c>
      <c r="J385" s="303">
        <f t="shared" si="71"/>
        <v>2.1282176021486521E-10</v>
      </c>
      <c r="K385" s="303">
        <f t="shared" si="64"/>
        <v>0</v>
      </c>
      <c r="L385" s="303">
        <f t="shared" si="65"/>
        <v>0</v>
      </c>
      <c r="M385" s="303">
        <f t="shared" si="66"/>
        <v>0</v>
      </c>
      <c r="N385" s="307">
        <f t="shared" si="67"/>
        <v>2.1282176021486521E-10</v>
      </c>
    </row>
    <row r="386" spans="2:14" x14ac:dyDescent="0.45">
      <c r="B386" s="306">
        <f t="shared" si="68"/>
        <v>55701</v>
      </c>
      <c r="C386" s="303">
        <f t="shared" si="69"/>
        <v>-1.2187229003757238E-10</v>
      </c>
      <c r="D386" s="303">
        <f t="shared" si="60"/>
        <v>0</v>
      </c>
      <c r="E386" s="303">
        <f t="shared" si="61"/>
        <v>0</v>
      </c>
      <c r="F386" s="303">
        <f t="shared" si="62"/>
        <v>0</v>
      </c>
      <c r="G386" s="307">
        <f t="shared" si="63"/>
        <v>-1.2187229003757238E-10</v>
      </c>
      <c r="I386" s="306">
        <f t="shared" si="70"/>
        <v>56705</v>
      </c>
      <c r="J386" s="303">
        <f t="shared" si="71"/>
        <v>2.1282176021486521E-10</v>
      </c>
      <c r="K386" s="303">
        <f t="shared" si="64"/>
        <v>0</v>
      </c>
      <c r="L386" s="303">
        <f t="shared" si="65"/>
        <v>0</v>
      </c>
      <c r="M386" s="303">
        <f t="shared" si="66"/>
        <v>0</v>
      </c>
      <c r="N386" s="307">
        <f t="shared" si="67"/>
        <v>2.1282176021486521E-10</v>
      </c>
    </row>
    <row r="387" spans="2:14" x14ac:dyDescent="0.45">
      <c r="B387" s="306">
        <f t="shared" si="68"/>
        <v>55732</v>
      </c>
      <c r="C387" s="303">
        <f t="shared" si="69"/>
        <v>-1.2187229003757238E-10</v>
      </c>
      <c r="D387" s="303">
        <f t="shared" si="60"/>
        <v>0</v>
      </c>
      <c r="E387" s="303">
        <f t="shared" si="61"/>
        <v>0</v>
      </c>
      <c r="F387" s="303">
        <f t="shared" si="62"/>
        <v>0</v>
      </c>
      <c r="G387" s="307">
        <f t="shared" si="63"/>
        <v>-1.2187229003757238E-10</v>
      </c>
      <c r="I387" s="306">
        <f t="shared" si="70"/>
        <v>56735</v>
      </c>
      <c r="J387" s="303">
        <f t="shared" si="71"/>
        <v>2.1282176021486521E-10</v>
      </c>
      <c r="K387" s="303">
        <f t="shared" si="64"/>
        <v>0</v>
      </c>
      <c r="L387" s="303">
        <f t="shared" si="65"/>
        <v>0</v>
      </c>
      <c r="M387" s="303">
        <f t="shared" si="66"/>
        <v>0</v>
      </c>
      <c r="N387" s="307">
        <f t="shared" si="67"/>
        <v>2.1282176021486521E-10</v>
      </c>
    </row>
    <row r="388" spans="2:14" x14ac:dyDescent="0.45">
      <c r="B388" s="306">
        <f t="shared" si="68"/>
        <v>55763</v>
      </c>
      <c r="C388" s="303">
        <f t="shared" si="69"/>
        <v>-1.2187229003757238E-10</v>
      </c>
      <c r="D388" s="303">
        <f t="shared" si="60"/>
        <v>0</v>
      </c>
      <c r="E388" s="303">
        <f t="shared" si="61"/>
        <v>0</v>
      </c>
      <c r="F388" s="303">
        <f t="shared" si="62"/>
        <v>0</v>
      </c>
      <c r="G388" s="307">
        <f t="shared" si="63"/>
        <v>-1.2187229003757238E-10</v>
      </c>
      <c r="I388" s="306">
        <f t="shared" si="70"/>
        <v>56766</v>
      </c>
      <c r="J388" s="303">
        <f t="shared" si="71"/>
        <v>2.1282176021486521E-10</v>
      </c>
      <c r="K388" s="303">
        <f t="shared" si="64"/>
        <v>0</v>
      </c>
      <c r="L388" s="303">
        <f t="shared" si="65"/>
        <v>0</v>
      </c>
      <c r="M388" s="303">
        <f t="shared" si="66"/>
        <v>0</v>
      </c>
      <c r="N388" s="307">
        <f t="shared" si="67"/>
        <v>2.1282176021486521E-10</v>
      </c>
    </row>
    <row r="389" spans="2:14" x14ac:dyDescent="0.45">
      <c r="B389" s="306">
        <f t="shared" si="68"/>
        <v>55793</v>
      </c>
      <c r="C389" s="303">
        <f t="shared" si="69"/>
        <v>-1.2187229003757238E-10</v>
      </c>
      <c r="D389" s="303">
        <f t="shared" si="60"/>
        <v>0</v>
      </c>
      <c r="E389" s="303">
        <f t="shared" si="61"/>
        <v>0</v>
      </c>
      <c r="F389" s="303">
        <f t="shared" si="62"/>
        <v>0</v>
      </c>
      <c r="G389" s="307">
        <f t="shared" si="63"/>
        <v>-1.2187229003757238E-10</v>
      </c>
      <c r="I389" s="306">
        <f t="shared" si="70"/>
        <v>56796</v>
      </c>
      <c r="J389" s="303">
        <f t="shared" si="71"/>
        <v>2.1282176021486521E-10</v>
      </c>
      <c r="K389" s="303">
        <f t="shared" si="64"/>
        <v>0</v>
      </c>
      <c r="L389" s="303">
        <f t="shared" si="65"/>
        <v>0</v>
      </c>
      <c r="M389" s="303">
        <f t="shared" si="66"/>
        <v>0</v>
      </c>
      <c r="N389" s="307">
        <f t="shared" si="67"/>
        <v>2.1282176021486521E-10</v>
      </c>
    </row>
    <row r="390" spans="2:14" x14ac:dyDescent="0.45">
      <c r="B390" s="306">
        <f t="shared" si="68"/>
        <v>55824</v>
      </c>
      <c r="C390" s="303">
        <f t="shared" si="69"/>
        <v>-1.2187229003757238E-10</v>
      </c>
      <c r="D390" s="303">
        <f t="shared" si="60"/>
        <v>0</v>
      </c>
      <c r="E390" s="303">
        <f t="shared" si="61"/>
        <v>0</v>
      </c>
      <c r="F390" s="303">
        <f t="shared" si="62"/>
        <v>0</v>
      </c>
      <c r="G390" s="307">
        <f t="shared" si="63"/>
        <v>-1.2187229003757238E-10</v>
      </c>
      <c r="I390" s="306">
        <f t="shared" si="70"/>
        <v>56827</v>
      </c>
      <c r="J390" s="303">
        <f t="shared" si="71"/>
        <v>2.1282176021486521E-10</v>
      </c>
      <c r="K390" s="303">
        <f t="shared" si="64"/>
        <v>0</v>
      </c>
      <c r="L390" s="303">
        <f t="shared" si="65"/>
        <v>0</v>
      </c>
      <c r="M390" s="303">
        <f t="shared" si="66"/>
        <v>0</v>
      </c>
      <c r="N390" s="307">
        <f t="shared" si="67"/>
        <v>2.1282176021486521E-10</v>
      </c>
    </row>
    <row r="391" spans="2:14" x14ac:dyDescent="0.45">
      <c r="B391" s="306">
        <f t="shared" si="68"/>
        <v>55854</v>
      </c>
      <c r="C391" s="303">
        <f t="shared" si="69"/>
        <v>-1.2187229003757238E-10</v>
      </c>
      <c r="D391" s="303">
        <f t="shared" si="60"/>
        <v>0</v>
      </c>
      <c r="E391" s="303">
        <f t="shared" si="61"/>
        <v>0</v>
      </c>
      <c r="F391" s="303">
        <f t="shared" si="62"/>
        <v>0</v>
      </c>
      <c r="G391" s="307">
        <f t="shared" si="63"/>
        <v>-1.2187229003757238E-10</v>
      </c>
      <c r="I391" s="306">
        <f t="shared" si="70"/>
        <v>56858</v>
      </c>
      <c r="J391" s="303">
        <f t="shared" si="71"/>
        <v>2.1282176021486521E-10</v>
      </c>
      <c r="K391" s="303">
        <f t="shared" si="64"/>
        <v>0</v>
      </c>
      <c r="L391" s="303">
        <f t="shared" si="65"/>
        <v>0</v>
      </c>
      <c r="M391" s="303">
        <f t="shared" si="66"/>
        <v>0</v>
      </c>
      <c r="N391" s="307">
        <f t="shared" si="67"/>
        <v>2.1282176021486521E-10</v>
      </c>
    </row>
    <row r="392" spans="2:14" x14ac:dyDescent="0.45">
      <c r="B392" s="306">
        <f t="shared" si="68"/>
        <v>55885</v>
      </c>
      <c r="C392" s="303">
        <f t="shared" si="69"/>
        <v>-1.2187229003757238E-10</v>
      </c>
      <c r="D392" s="303">
        <f t="shared" si="60"/>
        <v>0</v>
      </c>
      <c r="E392" s="303">
        <f t="shared" si="61"/>
        <v>0</v>
      </c>
      <c r="F392" s="303">
        <f t="shared" si="62"/>
        <v>0</v>
      </c>
      <c r="G392" s="307">
        <f t="shared" si="63"/>
        <v>-1.2187229003757238E-10</v>
      </c>
      <c r="I392" s="306">
        <f t="shared" si="70"/>
        <v>56888</v>
      </c>
      <c r="J392" s="303">
        <f t="shared" si="71"/>
        <v>2.1282176021486521E-10</v>
      </c>
      <c r="K392" s="303">
        <f t="shared" si="64"/>
        <v>0</v>
      </c>
      <c r="L392" s="303">
        <f t="shared" si="65"/>
        <v>0</v>
      </c>
      <c r="M392" s="303">
        <f t="shared" si="66"/>
        <v>0</v>
      </c>
      <c r="N392" s="307">
        <f t="shared" si="67"/>
        <v>2.1282176021486521E-10</v>
      </c>
    </row>
    <row r="393" spans="2:14" x14ac:dyDescent="0.45">
      <c r="B393" s="306">
        <f t="shared" si="68"/>
        <v>55916</v>
      </c>
      <c r="C393" s="303">
        <f t="shared" si="69"/>
        <v>-1.2187229003757238E-10</v>
      </c>
      <c r="D393" s="303">
        <f t="shared" si="60"/>
        <v>0</v>
      </c>
      <c r="E393" s="303">
        <f t="shared" si="61"/>
        <v>0</v>
      </c>
      <c r="F393" s="303">
        <f t="shared" si="62"/>
        <v>0</v>
      </c>
      <c r="G393" s="307">
        <f t="shared" si="63"/>
        <v>-1.2187229003757238E-10</v>
      </c>
      <c r="I393" s="306">
        <f t="shared" si="70"/>
        <v>56919</v>
      </c>
      <c r="J393" s="303">
        <f t="shared" si="71"/>
        <v>2.1282176021486521E-10</v>
      </c>
      <c r="K393" s="303">
        <f t="shared" si="64"/>
        <v>0</v>
      </c>
      <c r="L393" s="303">
        <f t="shared" si="65"/>
        <v>0</v>
      </c>
      <c r="M393" s="303">
        <f t="shared" si="66"/>
        <v>0</v>
      </c>
      <c r="N393" s="307">
        <f t="shared" si="67"/>
        <v>2.1282176021486521E-10</v>
      </c>
    </row>
    <row r="394" spans="2:14" x14ac:dyDescent="0.45">
      <c r="B394" s="306">
        <f t="shared" si="68"/>
        <v>55944</v>
      </c>
      <c r="C394" s="303">
        <f t="shared" si="69"/>
        <v>-1.2187229003757238E-10</v>
      </c>
      <c r="D394" s="303">
        <f t="shared" si="60"/>
        <v>0</v>
      </c>
      <c r="E394" s="303">
        <f t="shared" si="61"/>
        <v>0</v>
      </c>
      <c r="F394" s="303">
        <f t="shared" si="62"/>
        <v>0</v>
      </c>
      <c r="G394" s="307">
        <f t="shared" si="63"/>
        <v>-1.2187229003757238E-10</v>
      </c>
      <c r="I394" s="306">
        <f t="shared" si="70"/>
        <v>56949</v>
      </c>
      <c r="J394" s="303">
        <f t="shared" si="71"/>
        <v>2.1282176021486521E-10</v>
      </c>
      <c r="K394" s="303">
        <f t="shared" si="64"/>
        <v>0</v>
      </c>
      <c r="L394" s="303">
        <f t="shared" si="65"/>
        <v>0</v>
      </c>
      <c r="M394" s="303">
        <f t="shared" si="66"/>
        <v>0</v>
      </c>
      <c r="N394" s="307">
        <f t="shared" si="67"/>
        <v>2.1282176021486521E-10</v>
      </c>
    </row>
    <row r="395" spans="2:14" x14ac:dyDescent="0.45">
      <c r="B395" s="306">
        <f t="shared" si="68"/>
        <v>55975</v>
      </c>
      <c r="C395" s="303">
        <f t="shared" si="69"/>
        <v>-1.2187229003757238E-10</v>
      </c>
      <c r="D395" s="303">
        <f t="shared" si="60"/>
        <v>0</v>
      </c>
      <c r="E395" s="303">
        <f t="shared" si="61"/>
        <v>0</v>
      </c>
      <c r="F395" s="303">
        <f t="shared" si="62"/>
        <v>0</v>
      </c>
      <c r="G395" s="307">
        <f t="shared" si="63"/>
        <v>-1.2187229003757238E-10</v>
      </c>
      <c r="I395" s="306">
        <f t="shared" si="70"/>
        <v>56980</v>
      </c>
      <c r="J395" s="303">
        <f t="shared" si="71"/>
        <v>2.1282176021486521E-10</v>
      </c>
      <c r="K395" s="303">
        <f t="shared" si="64"/>
        <v>0</v>
      </c>
      <c r="L395" s="303">
        <f t="shared" si="65"/>
        <v>0</v>
      </c>
      <c r="M395" s="303">
        <f t="shared" si="66"/>
        <v>0</v>
      </c>
      <c r="N395" s="307">
        <f t="shared" si="67"/>
        <v>2.1282176021486521E-10</v>
      </c>
    </row>
    <row r="396" spans="2:14" x14ac:dyDescent="0.45">
      <c r="B396" s="306">
        <f t="shared" si="68"/>
        <v>56005</v>
      </c>
      <c r="C396" s="303">
        <f t="shared" si="69"/>
        <v>-1.2187229003757238E-10</v>
      </c>
      <c r="D396" s="303">
        <f t="shared" ref="D396:D459" si="72">IF(ROUNDDOWN(C396,0)=0,0,PMT($E$4/12,$E$7,-$E$8)+$E$5)</f>
        <v>0</v>
      </c>
      <c r="E396" s="303">
        <f t="shared" ref="E396:E459" si="73">IF(ROUNDDOWN(C396,0)=0,0,(C396*$E$4/12)+$E$5)</f>
        <v>0</v>
      </c>
      <c r="F396" s="303">
        <f t="shared" ref="F396:F459" si="74">D396-E396</f>
        <v>0</v>
      </c>
      <c r="G396" s="307">
        <f t="shared" ref="G396:G459" si="75">C396-F396</f>
        <v>-1.2187229003757238E-10</v>
      </c>
      <c r="I396" s="306">
        <f t="shared" si="70"/>
        <v>57011</v>
      </c>
      <c r="J396" s="303">
        <f t="shared" si="71"/>
        <v>2.1282176021486521E-10</v>
      </c>
      <c r="K396" s="303">
        <f t="shared" ref="K396:K459" si="76">IF(ROUNDDOWN(J396,0)=0,0,PMT($L$4/12,$L$7,-$L$8)+$L$5)</f>
        <v>0</v>
      </c>
      <c r="L396" s="303">
        <f t="shared" ref="L396:L459" si="77">IF(ROUNDDOWN(J396,0)=0,0,(J396*$L$4/12)+$L$5)</f>
        <v>0</v>
      </c>
      <c r="M396" s="303">
        <f t="shared" ref="M396:M459" si="78">K396-L396</f>
        <v>0</v>
      </c>
      <c r="N396" s="307">
        <f t="shared" ref="N396:N459" si="79">J396-M396</f>
        <v>2.1282176021486521E-10</v>
      </c>
    </row>
    <row r="397" spans="2:14" x14ac:dyDescent="0.45">
      <c r="B397" s="306">
        <f t="shared" ref="B397:B460" si="80">EDATE(B396,1)</f>
        <v>56036</v>
      </c>
      <c r="C397" s="303">
        <f t="shared" ref="C397:C460" si="81">G396</f>
        <v>-1.2187229003757238E-10</v>
      </c>
      <c r="D397" s="303">
        <f t="shared" si="72"/>
        <v>0</v>
      </c>
      <c r="E397" s="303">
        <f t="shared" si="73"/>
        <v>0</v>
      </c>
      <c r="F397" s="303">
        <f t="shared" si="74"/>
        <v>0</v>
      </c>
      <c r="G397" s="307">
        <f t="shared" si="75"/>
        <v>-1.2187229003757238E-10</v>
      </c>
      <c r="I397" s="306">
        <f t="shared" ref="I397:I460" si="82">EDATE(I396,1)</f>
        <v>57040</v>
      </c>
      <c r="J397" s="303">
        <f t="shared" ref="J397:J460" si="83">N396</f>
        <v>2.1282176021486521E-10</v>
      </c>
      <c r="K397" s="303">
        <f t="shared" si="76"/>
        <v>0</v>
      </c>
      <c r="L397" s="303">
        <f t="shared" si="77"/>
        <v>0</v>
      </c>
      <c r="M397" s="303">
        <f t="shared" si="78"/>
        <v>0</v>
      </c>
      <c r="N397" s="307">
        <f t="shared" si="79"/>
        <v>2.1282176021486521E-10</v>
      </c>
    </row>
    <row r="398" spans="2:14" x14ac:dyDescent="0.45">
      <c r="B398" s="306">
        <f t="shared" si="80"/>
        <v>56066</v>
      </c>
      <c r="C398" s="303">
        <f t="shared" si="81"/>
        <v>-1.2187229003757238E-10</v>
      </c>
      <c r="D398" s="303">
        <f t="shared" si="72"/>
        <v>0</v>
      </c>
      <c r="E398" s="303">
        <f t="shared" si="73"/>
        <v>0</v>
      </c>
      <c r="F398" s="303">
        <f t="shared" si="74"/>
        <v>0</v>
      </c>
      <c r="G398" s="307">
        <f t="shared" si="75"/>
        <v>-1.2187229003757238E-10</v>
      </c>
      <c r="I398" s="306">
        <f t="shared" si="82"/>
        <v>57071</v>
      </c>
      <c r="J398" s="303">
        <f t="shared" si="83"/>
        <v>2.1282176021486521E-10</v>
      </c>
      <c r="K398" s="303">
        <f t="shared" si="76"/>
        <v>0</v>
      </c>
      <c r="L398" s="303">
        <f t="shared" si="77"/>
        <v>0</v>
      </c>
      <c r="M398" s="303">
        <f t="shared" si="78"/>
        <v>0</v>
      </c>
      <c r="N398" s="307">
        <f t="shared" si="79"/>
        <v>2.1282176021486521E-10</v>
      </c>
    </row>
    <row r="399" spans="2:14" x14ac:dyDescent="0.45">
      <c r="B399" s="306">
        <f t="shared" si="80"/>
        <v>56097</v>
      </c>
      <c r="C399" s="303">
        <f t="shared" si="81"/>
        <v>-1.2187229003757238E-10</v>
      </c>
      <c r="D399" s="303">
        <f t="shared" si="72"/>
        <v>0</v>
      </c>
      <c r="E399" s="303">
        <f t="shared" si="73"/>
        <v>0</v>
      </c>
      <c r="F399" s="303">
        <f t="shared" si="74"/>
        <v>0</v>
      </c>
      <c r="G399" s="307">
        <f t="shared" si="75"/>
        <v>-1.2187229003757238E-10</v>
      </c>
      <c r="I399" s="306">
        <f t="shared" si="82"/>
        <v>57101</v>
      </c>
      <c r="J399" s="303">
        <f t="shared" si="83"/>
        <v>2.1282176021486521E-10</v>
      </c>
      <c r="K399" s="303">
        <f t="shared" si="76"/>
        <v>0</v>
      </c>
      <c r="L399" s="303">
        <f t="shared" si="77"/>
        <v>0</v>
      </c>
      <c r="M399" s="303">
        <f t="shared" si="78"/>
        <v>0</v>
      </c>
      <c r="N399" s="307">
        <f t="shared" si="79"/>
        <v>2.1282176021486521E-10</v>
      </c>
    </row>
    <row r="400" spans="2:14" x14ac:dyDescent="0.45">
      <c r="B400" s="306">
        <f t="shared" si="80"/>
        <v>56128</v>
      </c>
      <c r="C400" s="303">
        <f t="shared" si="81"/>
        <v>-1.2187229003757238E-10</v>
      </c>
      <c r="D400" s="303">
        <f t="shared" si="72"/>
        <v>0</v>
      </c>
      <c r="E400" s="303">
        <f t="shared" si="73"/>
        <v>0</v>
      </c>
      <c r="F400" s="303">
        <f t="shared" si="74"/>
        <v>0</v>
      </c>
      <c r="G400" s="307">
        <f t="shared" si="75"/>
        <v>-1.2187229003757238E-10</v>
      </c>
      <c r="I400" s="306">
        <f t="shared" si="82"/>
        <v>57132</v>
      </c>
      <c r="J400" s="303">
        <f t="shared" si="83"/>
        <v>2.1282176021486521E-10</v>
      </c>
      <c r="K400" s="303">
        <f t="shared" si="76"/>
        <v>0</v>
      </c>
      <c r="L400" s="303">
        <f t="shared" si="77"/>
        <v>0</v>
      </c>
      <c r="M400" s="303">
        <f t="shared" si="78"/>
        <v>0</v>
      </c>
      <c r="N400" s="307">
        <f t="shared" si="79"/>
        <v>2.1282176021486521E-10</v>
      </c>
    </row>
    <row r="401" spans="2:14" x14ac:dyDescent="0.45">
      <c r="B401" s="306">
        <f t="shared" si="80"/>
        <v>56158</v>
      </c>
      <c r="C401" s="303">
        <f t="shared" si="81"/>
        <v>-1.2187229003757238E-10</v>
      </c>
      <c r="D401" s="303">
        <f t="shared" si="72"/>
        <v>0</v>
      </c>
      <c r="E401" s="303">
        <f t="shared" si="73"/>
        <v>0</v>
      </c>
      <c r="F401" s="303">
        <f t="shared" si="74"/>
        <v>0</v>
      </c>
      <c r="G401" s="307">
        <f t="shared" si="75"/>
        <v>-1.2187229003757238E-10</v>
      </c>
      <c r="I401" s="306">
        <f t="shared" si="82"/>
        <v>57162</v>
      </c>
      <c r="J401" s="303">
        <f t="shared" si="83"/>
        <v>2.1282176021486521E-10</v>
      </c>
      <c r="K401" s="303">
        <f t="shared" si="76"/>
        <v>0</v>
      </c>
      <c r="L401" s="303">
        <f t="shared" si="77"/>
        <v>0</v>
      </c>
      <c r="M401" s="303">
        <f t="shared" si="78"/>
        <v>0</v>
      </c>
      <c r="N401" s="307">
        <f t="shared" si="79"/>
        <v>2.1282176021486521E-10</v>
      </c>
    </row>
    <row r="402" spans="2:14" x14ac:dyDescent="0.45">
      <c r="B402" s="306">
        <f t="shared" si="80"/>
        <v>56189</v>
      </c>
      <c r="C402" s="303">
        <f t="shared" si="81"/>
        <v>-1.2187229003757238E-10</v>
      </c>
      <c r="D402" s="303">
        <f t="shared" si="72"/>
        <v>0</v>
      </c>
      <c r="E402" s="303">
        <f t="shared" si="73"/>
        <v>0</v>
      </c>
      <c r="F402" s="303">
        <f t="shared" si="74"/>
        <v>0</v>
      </c>
      <c r="G402" s="307">
        <f t="shared" si="75"/>
        <v>-1.2187229003757238E-10</v>
      </c>
      <c r="I402" s="306">
        <f t="shared" si="82"/>
        <v>57193</v>
      </c>
      <c r="J402" s="303">
        <f t="shared" si="83"/>
        <v>2.1282176021486521E-10</v>
      </c>
      <c r="K402" s="303">
        <f t="shared" si="76"/>
        <v>0</v>
      </c>
      <c r="L402" s="303">
        <f t="shared" si="77"/>
        <v>0</v>
      </c>
      <c r="M402" s="303">
        <f t="shared" si="78"/>
        <v>0</v>
      </c>
      <c r="N402" s="307">
        <f t="shared" si="79"/>
        <v>2.1282176021486521E-10</v>
      </c>
    </row>
    <row r="403" spans="2:14" x14ac:dyDescent="0.45">
      <c r="B403" s="306">
        <f t="shared" si="80"/>
        <v>56219</v>
      </c>
      <c r="C403" s="303">
        <f t="shared" si="81"/>
        <v>-1.2187229003757238E-10</v>
      </c>
      <c r="D403" s="303">
        <f t="shared" si="72"/>
        <v>0</v>
      </c>
      <c r="E403" s="303">
        <f t="shared" si="73"/>
        <v>0</v>
      </c>
      <c r="F403" s="303">
        <f t="shared" si="74"/>
        <v>0</v>
      </c>
      <c r="G403" s="307">
        <f t="shared" si="75"/>
        <v>-1.2187229003757238E-10</v>
      </c>
      <c r="I403" s="306">
        <f t="shared" si="82"/>
        <v>57224</v>
      </c>
      <c r="J403" s="303">
        <f t="shared" si="83"/>
        <v>2.1282176021486521E-10</v>
      </c>
      <c r="K403" s="303">
        <f t="shared" si="76"/>
        <v>0</v>
      </c>
      <c r="L403" s="303">
        <f t="shared" si="77"/>
        <v>0</v>
      </c>
      <c r="M403" s="303">
        <f t="shared" si="78"/>
        <v>0</v>
      </c>
      <c r="N403" s="307">
        <f t="shared" si="79"/>
        <v>2.1282176021486521E-10</v>
      </c>
    </row>
    <row r="404" spans="2:14" x14ac:dyDescent="0.45">
      <c r="B404" s="306">
        <f t="shared" si="80"/>
        <v>56250</v>
      </c>
      <c r="C404" s="303">
        <f t="shared" si="81"/>
        <v>-1.2187229003757238E-10</v>
      </c>
      <c r="D404" s="303">
        <f t="shared" si="72"/>
        <v>0</v>
      </c>
      <c r="E404" s="303">
        <f t="shared" si="73"/>
        <v>0</v>
      </c>
      <c r="F404" s="303">
        <f t="shared" si="74"/>
        <v>0</v>
      </c>
      <c r="G404" s="307">
        <f t="shared" si="75"/>
        <v>-1.2187229003757238E-10</v>
      </c>
      <c r="I404" s="306">
        <f t="shared" si="82"/>
        <v>57254</v>
      </c>
      <c r="J404" s="303">
        <f t="shared" si="83"/>
        <v>2.1282176021486521E-10</v>
      </c>
      <c r="K404" s="303">
        <f t="shared" si="76"/>
        <v>0</v>
      </c>
      <c r="L404" s="303">
        <f t="shared" si="77"/>
        <v>0</v>
      </c>
      <c r="M404" s="303">
        <f t="shared" si="78"/>
        <v>0</v>
      </c>
      <c r="N404" s="307">
        <f t="shared" si="79"/>
        <v>2.1282176021486521E-10</v>
      </c>
    </row>
    <row r="405" spans="2:14" x14ac:dyDescent="0.45">
      <c r="B405" s="306">
        <f t="shared" si="80"/>
        <v>56281</v>
      </c>
      <c r="C405" s="303">
        <f t="shared" si="81"/>
        <v>-1.2187229003757238E-10</v>
      </c>
      <c r="D405" s="303">
        <f t="shared" si="72"/>
        <v>0</v>
      </c>
      <c r="E405" s="303">
        <f t="shared" si="73"/>
        <v>0</v>
      </c>
      <c r="F405" s="303">
        <f t="shared" si="74"/>
        <v>0</v>
      </c>
      <c r="G405" s="307">
        <f t="shared" si="75"/>
        <v>-1.2187229003757238E-10</v>
      </c>
      <c r="I405" s="306">
        <f t="shared" si="82"/>
        <v>57285</v>
      </c>
      <c r="J405" s="303">
        <f t="shared" si="83"/>
        <v>2.1282176021486521E-10</v>
      </c>
      <c r="K405" s="303">
        <f t="shared" si="76"/>
        <v>0</v>
      </c>
      <c r="L405" s="303">
        <f t="shared" si="77"/>
        <v>0</v>
      </c>
      <c r="M405" s="303">
        <f t="shared" si="78"/>
        <v>0</v>
      </c>
      <c r="N405" s="307">
        <f t="shared" si="79"/>
        <v>2.1282176021486521E-10</v>
      </c>
    </row>
    <row r="406" spans="2:14" x14ac:dyDescent="0.45">
      <c r="B406" s="306">
        <f t="shared" si="80"/>
        <v>56309</v>
      </c>
      <c r="C406" s="303">
        <f t="shared" si="81"/>
        <v>-1.2187229003757238E-10</v>
      </c>
      <c r="D406" s="303">
        <f t="shared" si="72"/>
        <v>0</v>
      </c>
      <c r="E406" s="303">
        <f t="shared" si="73"/>
        <v>0</v>
      </c>
      <c r="F406" s="303">
        <f t="shared" si="74"/>
        <v>0</v>
      </c>
      <c r="G406" s="307">
        <f t="shared" si="75"/>
        <v>-1.2187229003757238E-10</v>
      </c>
      <c r="I406" s="306">
        <f t="shared" si="82"/>
        <v>57315</v>
      </c>
      <c r="J406" s="303">
        <f t="shared" si="83"/>
        <v>2.1282176021486521E-10</v>
      </c>
      <c r="K406" s="303">
        <f t="shared" si="76"/>
        <v>0</v>
      </c>
      <c r="L406" s="303">
        <f t="shared" si="77"/>
        <v>0</v>
      </c>
      <c r="M406" s="303">
        <f t="shared" si="78"/>
        <v>0</v>
      </c>
      <c r="N406" s="307">
        <f t="shared" si="79"/>
        <v>2.1282176021486521E-10</v>
      </c>
    </row>
    <row r="407" spans="2:14" x14ac:dyDescent="0.45">
      <c r="B407" s="306">
        <f t="shared" si="80"/>
        <v>56340</v>
      </c>
      <c r="C407" s="303">
        <f t="shared" si="81"/>
        <v>-1.2187229003757238E-10</v>
      </c>
      <c r="D407" s="303">
        <f t="shared" si="72"/>
        <v>0</v>
      </c>
      <c r="E407" s="303">
        <f t="shared" si="73"/>
        <v>0</v>
      </c>
      <c r="F407" s="303">
        <f t="shared" si="74"/>
        <v>0</v>
      </c>
      <c r="G407" s="307">
        <f t="shared" si="75"/>
        <v>-1.2187229003757238E-10</v>
      </c>
      <c r="I407" s="306">
        <f t="shared" si="82"/>
        <v>57346</v>
      </c>
      <c r="J407" s="303">
        <f t="shared" si="83"/>
        <v>2.1282176021486521E-10</v>
      </c>
      <c r="K407" s="303">
        <f t="shared" si="76"/>
        <v>0</v>
      </c>
      <c r="L407" s="303">
        <f t="shared" si="77"/>
        <v>0</v>
      </c>
      <c r="M407" s="303">
        <f t="shared" si="78"/>
        <v>0</v>
      </c>
      <c r="N407" s="307">
        <f t="shared" si="79"/>
        <v>2.1282176021486521E-10</v>
      </c>
    </row>
    <row r="408" spans="2:14" x14ac:dyDescent="0.45">
      <c r="B408" s="306">
        <f t="shared" si="80"/>
        <v>56370</v>
      </c>
      <c r="C408" s="303">
        <f t="shared" si="81"/>
        <v>-1.2187229003757238E-10</v>
      </c>
      <c r="D408" s="303">
        <f t="shared" si="72"/>
        <v>0</v>
      </c>
      <c r="E408" s="303">
        <f t="shared" si="73"/>
        <v>0</v>
      </c>
      <c r="F408" s="303">
        <f t="shared" si="74"/>
        <v>0</v>
      </c>
      <c r="G408" s="307">
        <f t="shared" si="75"/>
        <v>-1.2187229003757238E-10</v>
      </c>
      <c r="I408" s="306">
        <f t="shared" si="82"/>
        <v>57377</v>
      </c>
      <c r="J408" s="303">
        <f t="shared" si="83"/>
        <v>2.1282176021486521E-10</v>
      </c>
      <c r="K408" s="303">
        <f t="shared" si="76"/>
        <v>0</v>
      </c>
      <c r="L408" s="303">
        <f t="shared" si="77"/>
        <v>0</v>
      </c>
      <c r="M408" s="303">
        <f t="shared" si="78"/>
        <v>0</v>
      </c>
      <c r="N408" s="307">
        <f t="shared" si="79"/>
        <v>2.1282176021486521E-10</v>
      </c>
    </row>
    <row r="409" spans="2:14" x14ac:dyDescent="0.45">
      <c r="B409" s="306">
        <f t="shared" si="80"/>
        <v>56401</v>
      </c>
      <c r="C409" s="303">
        <f t="shared" si="81"/>
        <v>-1.2187229003757238E-10</v>
      </c>
      <c r="D409" s="303">
        <f t="shared" si="72"/>
        <v>0</v>
      </c>
      <c r="E409" s="303">
        <f t="shared" si="73"/>
        <v>0</v>
      </c>
      <c r="F409" s="303">
        <f t="shared" si="74"/>
        <v>0</v>
      </c>
      <c r="G409" s="307">
        <f t="shared" si="75"/>
        <v>-1.2187229003757238E-10</v>
      </c>
      <c r="I409" s="306">
        <f t="shared" si="82"/>
        <v>57405</v>
      </c>
      <c r="J409" s="303">
        <f t="shared" si="83"/>
        <v>2.1282176021486521E-10</v>
      </c>
      <c r="K409" s="303">
        <f t="shared" si="76"/>
        <v>0</v>
      </c>
      <c r="L409" s="303">
        <f t="shared" si="77"/>
        <v>0</v>
      </c>
      <c r="M409" s="303">
        <f t="shared" si="78"/>
        <v>0</v>
      </c>
      <c r="N409" s="307">
        <f t="shared" si="79"/>
        <v>2.1282176021486521E-10</v>
      </c>
    </row>
    <row r="410" spans="2:14" x14ac:dyDescent="0.45">
      <c r="B410" s="306">
        <f t="shared" si="80"/>
        <v>56431</v>
      </c>
      <c r="C410" s="303">
        <f t="shared" si="81"/>
        <v>-1.2187229003757238E-10</v>
      </c>
      <c r="D410" s="303">
        <f t="shared" si="72"/>
        <v>0</v>
      </c>
      <c r="E410" s="303">
        <f t="shared" si="73"/>
        <v>0</v>
      </c>
      <c r="F410" s="303">
        <f t="shared" si="74"/>
        <v>0</v>
      </c>
      <c r="G410" s="307">
        <f t="shared" si="75"/>
        <v>-1.2187229003757238E-10</v>
      </c>
      <c r="I410" s="306">
        <f t="shared" si="82"/>
        <v>57436</v>
      </c>
      <c r="J410" s="303">
        <f t="shared" si="83"/>
        <v>2.1282176021486521E-10</v>
      </c>
      <c r="K410" s="303">
        <f t="shared" si="76"/>
        <v>0</v>
      </c>
      <c r="L410" s="303">
        <f t="shared" si="77"/>
        <v>0</v>
      </c>
      <c r="M410" s="303">
        <f t="shared" si="78"/>
        <v>0</v>
      </c>
      <c r="N410" s="307">
        <f t="shared" si="79"/>
        <v>2.1282176021486521E-10</v>
      </c>
    </row>
    <row r="411" spans="2:14" x14ac:dyDescent="0.45">
      <c r="B411" s="306">
        <f t="shared" si="80"/>
        <v>56462</v>
      </c>
      <c r="C411" s="303">
        <f t="shared" si="81"/>
        <v>-1.2187229003757238E-10</v>
      </c>
      <c r="D411" s="303">
        <f t="shared" si="72"/>
        <v>0</v>
      </c>
      <c r="E411" s="303">
        <f t="shared" si="73"/>
        <v>0</v>
      </c>
      <c r="F411" s="303">
        <f t="shared" si="74"/>
        <v>0</v>
      </c>
      <c r="G411" s="307">
        <f t="shared" si="75"/>
        <v>-1.2187229003757238E-10</v>
      </c>
      <c r="I411" s="306">
        <f t="shared" si="82"/>
        <v>57466</v>
      </c>
      <c r="J411" s="303">
        <f t="shared" si="83"/>
        <v>2.1282176021486521E-10</v>
      </c>
      <c r="K411" s="303">
        <f t="shared" si="76"/>
        <v>0</v>
      </c>
      <c r="L411" s="303">
        <f t="shared" si="77"/>
        <v>0</v>
      </c>
      <c r="M411" s="303">
        <f t="shared" si="78"/>
        <v>0</v>
      </c>
      <c r="N411" s="307">
        <f t="shared" si="79"/>
        <v>2.1282176021486521E-10</v>
      </c>
    </row>
    <row r="412" spans="2:14" x14ac:dyDescent="0.45">
      <c r="B412" s="306">
        <f t="shared" si="80"/>
        <v>56493</v>
      </c>
      <c r="C412" s="303">
        <f t="shared" si="81"/>
        <v>-1.2187229003757238E-10</v>
      </c>
      <c r="D412" s="303">
        <f t="shared" si="72"/>
        <v>0</v>
      </c>
      <c r="E412" s="303">
        <f t="shared" si="73"/>
        <v>0</v>
      </c>
      <c r="F412" s="303">
        <f t="shared" si="74"/>
        <v>0</v>
      </c>
      <c r="G412" s="307">
        <f t="shared" si="75"/>
        <v>-1.2187229003757238E-10</v>
      </c>
      <c r="I412" s="306">
        <f t="shared" si="82"/>
        <v>57497</v>
      </c>
      <c r="J412" s="303">
        <f t="shared" si="83"/>
        <v>2.1282176021486521E-10</v>
      </c>
      <c r="K412" s="303">
        <f t="shared" si="76"/>
        <v>0</v>
      </c>
      <c r="L412" s="303">
        <f t="shared" si="77"/>
        <v>0</v>
      </c>
      <c r="M412" s="303">
        <f t="shared" si="78"/>
        <v>0</v>
      </c>
      <c r="N412" s="307">
        <f t="shared" si="79"/>
        <v>2.1282176021486521E-10</v>
      </c>
    </row>
    <row r="413" spans="2:14" x14ac:dyDescent="0.45">
      <c r="B413" s="306">
        <f t="shared" si="80"/>
        <v>56523</v>
      </c>
      <c r="C413" s="303">
        <f t="shared" si="81"/>
        <v>-1.2187229003757238E-10</v>
      </c>
      <c r="D413" s="303">
        <f t="shared" si="72"/>
        <v>0</v>
      </c>
      <c r="E413" s="303">
        <f t="shared" si="73"/>
        <v>0</v>
      </c>
      <c r="F413" s="303">
        <f t="shared" si="74"/>
        <v>0</v>
      </c>
      <c r="G413" s="307">
        <f t="shared" si="75"/>
        <v>-1.2187229003757238E-10</v>
      </c>
      <c r="I413" s="306">
        <f t="shared" si="82"/>
        <v>57527</v>
      </c>
      <c r="J413" s="303">
        <f t="shared" si="83"/>
        <v>2.1282176021486521E-10</v>
      </c>
      <c r="K413" s="303">
        <f t="shared" si="76"/>
        <v>0</v>
      </c>
      <c r="L413" s="303">
        <f t="shared" si="77"/>
        <v>0</v>
      </c>
      <c r="M413" s="303">
        <f t="shared" si="78"/>
        <v>0</v>
      </c>
      <c r="N413" s="307">
        <f t="shared" si="79"/>
        <v>2.1282176021486521E-10</v>
      </c>
    </row>
    <row r="414" spans="2:14" x14ac:dyDescent="0.45">
      <c r="B414" s="306">
        <f t="shared" si="80"/>
        <v>56554</v>
      </c>
      <c r="C414" s="303">
        <f t="shared" si="81"/>
        <v>-1.2187229003757238E-10</v>
      </c>
      <c r="D414" s="303">
        <f t="shared" si="72"/>
        <v>0</v>
      </c>
      <c r="E414" s="303">
        <f t="shared" si="73"/>
        <v>0</v>
      </c>
      <c r="F414" s="303">
        <f t="shared" si="74"/>
        <v>0</v>
      </c>
      <c r="G414" s="307">
        <f t="shared" si="75"/>
        <v>-1.2187229003757238E-10</v>
      </c>
      <c r="I414" s="306">
        <f t="shared" si="82"/>
        <v>57558</v>
      </c>
      <c r="J414" s="303">
        <f t="shared" si="83"/>
        <v>2.1282176021486521E-10</v>
      </c>
      <c r="K414" s="303">
        <f t="shared" si="76"/>
        <v>0</v>
      </c>
      <c r="L414" s="303">
        <f t="shared" si="77"/>
        <v>0</v>
      </c>
      <c r="M414" s="303">
        <f t="shared" si="78"/>
        <v>0</v>
      </c>
      <c r="N414" s="307">
        <f t="shared" si="79"/>
        <v>2.1282176021486521E-10</v>
      </c>
    </row>
    <row r="415" spans="2:14" x14ac:dyDescent="0.45">
      <c r="B415" s="306">
        <f t="shared" si="80"/>
        <v>56584</v>
      </c>
      <c r="C415" s="303">
        <f t="shared" si="81"/>
        <v>-1.2187229003757238E-10</v>
      </c>
      <c r="D415" s="303">
        <f t="shared" si="72"/>
        <v>0</v>
      </c>
      <c r="E415" s="303">
        <f t="shared" si="73"/>
        <v>0</v>
      </c>
      <c r="F415" s="303">
        <f t="shared" si="74"/>
        <v>0</v>
      </c>
      <c r="G415" s="307">
        <f t="shared" si="75"/>
        <v>-1.2187229003757238E-10</v>
      </c>
      <c r="I415" s="306">
        <f t="shared" si="82"/>
        <v>57589</v>
      </c>
      <c r="J415" s="303">
        <f t="shared" si="83"/>
        <v>2.1282176021486521E-10</v>
      </c>
      <c r="K415" s="303">
        <f t="shared" si="76"/>
        <v>0</v>
      </c>
      <c r="L415" s="303">
        <f t="shared" si="77"/>
        <v>0</v>
      </c>
      <c r="M415" s="303">
        <f t="shared" si="78"/>
        <v>0</v>
      </c>
      <c r="N415" s="307">
        <f t="shared" si="79"/>
        <v>2.1282176021486521E-10</v>
      </c>
    </row>
    <row r="416" spans="2:14" x14ac:dyDescent="0.45">
      <c r="B416" s="306">
        <f t="shared" si="80"/>
        <v>56615</v>
      </c>
      <c r="C416" s="303">
        <f t="shared" si="81"/>
        <v>-1.2187229003757238E-10</v>
      </c>
      <c r="D416" s="303">
        <f t="shared" si="72"/>
        <v>0</v>
      </c>
      <c r="E416" s="303">
        <f t="shared" si="73"/>
        <v>0</v>
      </c>
      <c r="F416" s="303">
        <f t="shared" si="74"/>
        <v>0</v>
      </c>
      <c r="G416" s="307">
        <f t="shared" si="75"/>
        <v>-1.2187229003757238E-10</v>
      </c>
      <c r="I416" s="306">
        <f t="shared" si="82"/>
        <v>57619</v>
      </c>
      <c r="J416" s="303">
        <f t="shared" si="83"/>
        <v>2.1282176021486521E-10</v>
      </c>
      <c r="K416" s="303">
        <f t="shared" si="76"/>
        <v>0</v>
      </c>
      <c r="L416" s="303">
        <f t="shared" si="77"/>
        <v>0</v>
      </c>
      <c r="M416" s="303">
        <f t="shared" si="78"/>
        <v>0</v>
      </c>
      <c r="N416" s="307">
        <f t="shared" si="79"/>
        <v>2.1282176021486521E-10</v>
      </c>
    </row>
    <row r="417" spans="2:14" x14ac:dyDescent="0.45">
      <c r="B417" s="306">
        <f t="shared" si="80"/>
        <v>56646</v>
      </c>
      <c r="C417" s="303">
        <f t="shared" si="81"/>
        <v>-1.2187229003757238E-10</v>
      </c>
      <c r="D417" s="303">
        <f t="shared" si="72"/>
        <v>0</v>
      </c>
      <c r="E417" s="303">
        <f t="shared" si="73"/>
        <v>0</v>
      </c>
      <c r="F417" s="303">
        <f t="shared" si="74"/>
        <v>0</v>
      </c>
      <c r="G417" s="307">
        <f t="shared" si="75"/>
        <v>-1.2187229003757238E-10</v>
      </c>
      <c r="I417" s="306">
        <f t="shared" si="82"/>
        <v>57650</v>
      </c>
      <c r="J417" s="303">
        <f t="shared" si="83"/>
        <v>2.1282176021486521E-10</v>
      </c>
      <c r="K417" s="303">
        <f t="shared" si="76"/>
        <v>0</v>
      </c>
      <c r="L417" s="303">
        <f t="shared" si="77"/>
        <v>0</v>
      </c>
      <c r="M417" s="303">
        <f t="shared" si="78"/>
        <v>0</v>
      </c>
      <c r="N417" s="307">
        <f t="shared" si="79"/>
        <v>2.1282176021486521E-10</v>
      </c>
    </row>
    <row r="418" spans="2:14" x14ac:dyDescent="0.45">
      <c r="B418" s="306">
        <f t="shared" si="80"/>
        <v>56674</v>
      </c>
      <c r="C418" s="303">
        <f t="shared" si="81"/>
        <v>-1.2187229003757238E-10</v>
      </c>
      <c r="D418" s="303">
        <f t="shared" si="72"/>
        <v>0</v>
      </c>
      <c r="E418" s="303">
        <f t="shared" si="73"/>
        <v>0</v>
      </c>
      <c r="F418" s="303">
        <f t="shared" si="74"/>
        <v>0</v>
      </c>
      <c r="G418" s="307">
        <f t="shared" si="75"/>
        <v>-1.2187229003757238E-10</v>
      </c>
      <c r="I418" s="306">
        <f t="shared" si="82"/>
        <v>57680</v>
      </c>
      <c r="J418" s="303">
        <f t="shared" si="83"/>
        <v>2.1282176021486521E-10</v>
      </c>
      <c r="K418" s="303">
        <f t="shared" si="76"/>
        <v>0</v>
      </c>
      <c r="L418" s="303">
        <f t="shared" si="77"/>
        <v>0</v>
      </c>
      <c r="M418" s="303">
        <f t="shared" si="78"/>
        <v>0</v>
      </c>
      <c r="N418" s="307">
        <f t="shared" si="79"/>
        <v>2.1282176021486521E-10</v>
      </c>
    </row>
    <row r="419" spans="2:14" x14ac:dyDescent="0.45">
      <c r="B419" s="306">
        <f t="shared" si="80"/>
        <v>56705</v>
      </c>
      <c r="C419" s="303">
        <f t="shared" si="81"/>
        <v>-1.2187229003757238E-10</v>
      </c>
      <c r="D419" s="303">
        <f t="shared" si="72"/>
        <v>0</v>
      </c>
      <c r="E419" s="303">
        <f t="shared" si="73"/>
        <v>0</v>
      </c>
      <c r="F419" s="303">
        <f t="shared" si="74"/>
        <v>0</v>
      </c>
      <c r="G419" s="307">
        <f t="shared" si="75"/>
        <v>-1.2187229003757238E-10</v>
      </c>
      <c r="I419" s="306">
        <f t="shared" si="82"/>
        <v>57711</v>
      </c>
      <c r="J419" s="303">
        <f t="shared" si="83"/>
        <v>2.1282176021486521E-10</v>
      </c>
      <c r="K419" s="303">
        <f t="shared" si="76"/>
        <v>0</v>
      </c>
      <c r="L419" s="303">
        <f t="shared" si="77"/>
        <v>0</v>
      </c>
      <c r="M419" s="303">
        <f t="shared" si="78"/>
        <v>0</v>
      </c>
      <c r="N419" s="307">
        <f t="shared" si="79"/>
        <v>2.1282176021486521E-10</v>
      </c>
    </row>
    <row r="420" spans="2:14" x14ac:dyDescent="0.45">
      <c r="B420" s="306">
        <f t="shared" si="80"/>
        <v>56735</v>
      </c>
      <c r="C420" s="303">
        <f t="shared" si="81"/>
        <v>-1.2187229003757238E-10</v>
      </c>
      <c r="D420" s="303">
        <f t="shared" si="72"/>
        <v>0</v>
      </c>
      <c r="E420" s="303">
        <f t="shared" si="73"/>
        <v>0</v>
      </c>
      <c r="F420" s="303">
        <f t="shared" si="74"/>
        <v>0</v>
      </c>
      <c r="G420" s="307">
        <f t="shared" si="75"/>
        <v>-1.2187229003757238E-10</v>
      </c>
      <c r="I420" s="306">
        <f t="shared" si="82"/>
        <v>57742</v>
      </c>
      <c r="J420" s="303">
        <f t="shared" si="83"/>
        <v>2.1282176021486521E-10</v>
      </c>
      <c r="K420" s="303">
        <f t="shared" si="76"/>
        <v>0</v>
      </c>
      <c r="L420" s="303">
        <f t="shared" si="77"/>
        <v>0</v>
      </c>
      <c r="M420" s="303">
        <f t="shared" si="78"/>
        <v>0</v>
      </c>
      <c r="N420" s="307">
        <f t="shared" si="79"/>
        <v>2.1282176021486521E-10</v>
      </c>
    </row>
    <row r="421" spans="2:14" x14ac:dyDescent="0.45">
      <c r="B421" s="306">
        <f t="shared" si="80"/>
        <v>56766</v>
      </c>
      <c r="C421" s="303">
        <f t="shared" si="81"/>
        <v>-1.2187229003757238E-10</v>
      </c>
      <c r="D421" s="303">
        <f t="shared" si="72"/>
        <v>0</v>
      </c>
      <c r="E421" s="303">
        <f t="shared" si="73"/>
        <v>0</v>
      </c>
      <c r="F421" s="303">
        <f t="shared" si="74"/>
        <v>0</v>
      </c>
      <c r="G421" s="307">
        <f t="shared" si="75"/>
        <v>-1.2187229003757238E-10</v>
      </c>
      <c r="I421" s="306">
        <f t="shared" si="82"/>
        <v>57770</v>
      </c>
      <c r="J421" s="303">
        <f t="shared" si="83"/>
        <v>2.1282176021486521E-10</v>
      </c>
      <c r="K421" s="303">
        <f t="shared" si="76"/>
        <v>0</v>
      </c>
      <c r="L421" s="303">
        <f t="shared" si="77"/>
        <v>0</v>
      </c>
      <c r="M421" s="303">
        <f t="shared" si="78"/>
        <v>0</v>
      </c>
      <c r="N421" s="307">
        <f t="shared" si="79"/>
        <v>2.1282176021486521E-10</v>
      </c>
    </row>
    <row r="422" spans="2:14" x14ac:dyDescent="0.45">
      <c r="B422" s="306">
        <f t="shared" si="80"/>
        <v>56796</v>
      </c>
      <c r="C422" s="303">
        <f t="shared" si="81"/>
        <v>-1.2187229003757238E-10</v>
      </c>
      <c r="D422" s="303">
        <f t="shared" si="72"/>
        <v>0</v>
      </c>
      <c r="E422" s="303">
        <f t="shared" si="73"/>
        <v>0</v>
      </c>
      <c r="F422" s="303">
        <f t="shared" si="74"/>
        <v>0</v>
      </c>
      <c r="G422" s="307">
        <f t="shared" si="75"/>
        <v>-1.2187229003757238E-10</v>
      </c>
      <c r="I422" s="306">
        <f t="shared" si="82"/>
        <v>57801</v>
      </c>
      <c r="J422" s="303">
        <f t="shared" si="83"/>
        <v>2.1282176021486521E-10</v>
      </c>
      <c r="K422" s="303">
        <f t="shared" si="76"/>
        <v>0</v>
      </c>
      <c r="L422" s="303">
        <f t="shared" si="77"/>
        <v>0</v>
      </c>
      <c r="M422" s="303">
        <f t="shared" si="78"/>
        <v>0</v>
      </c>
      <c r="N422" s="307">
        <f t="shared" si="79"/>
        <v>2.1282176021486521E-10</v>
      </c>
    </row>
    <row r="423" spans="2:14" x14ac:dyDescent="0.45">
      <c r="B423" s="306">
        <f t="shared" si="80"/>
        <v>56827</v>
      </c>
      <c r="C423" s="303">
        <f t="shared" si="81"/>
        <v>-1.2187229003757238E-10</v>
      </c>
      <c r="D423" s="303">
        <f t="shared" si="72"/>
        <v>0</v>
      </c>
      <c r="E423" s="303">
        <f t="shared" si="73"/>
        <v>0</v>
      </c>
      <c r="F423" s="303">
        <f t="shared" si="74"/>
        <v>0</v>
      </c>
      <c r="G423" s="307">
        <f t="shared" si="75"/>
        <v>-1.2187229003757238E-10</v>
      </c>
      <c r="I423" s="306">
        <f t="shared" si="82"/>
        <v>57831</v>
      </c>
      <c r="J423" s="303">
        <f t="shared" si="83"/>
        <v>2.1282176021486521E-10</v>
      </c>
      <c r="K423" s="303">
        <f t="shared" si="76"/>
        <v>0</v>
      </c>
      <c r="L423" s="303">
        <f t="shared" si="77"/>
        <v>0</v>
      </c>
      <c r="M423" s="303">
        <f t="shared" si="78"/>
        <v>0</v>
      </c>
      <c r="N423" s="307">
        <f t="shared" si="79"/>
        <v>2.1282176021486521E-10</v>
      </c>
    </row>
    <row r="424" spans="2:14" x14ac:dyDescent="0.45">
      <c r="B424" s="306">
        <f t="shared" si="80"/>
        <v>56858</v>
      </c>
      <c r="C424" s="303">
        <f t="shared" si="81"/>
        <v>-1.2187229003757238E-10</v>
      </c>
      <c r="D424" s="303">
        <f t="shared" si="72"/>
        <v>0</v>
      </c>
      <c r="E424" s="303">
        <f t="shared" si="73"/>
        <v>0</v>
      </c>
      <c r="F424" s="303">
        <f t="shared" si="74"/>
        <v>0</v>
      </c>
      <c r="G424" s="307">
        <f t="shared" si="75"/>
        <v>-1.2187229003757238E-10</v>
      </c>
      <c r="I424" s="306">
        <f t="shared" si="82"/>
        <v>57862</v>
      </c>
      <c r="J424" s="303">
        <f t="shared" si="83"/>
        <v>2.1282176021486521E-10</v>
      </c>
      <c r="K424" s="303">
        <f t="shared" si="76"/>
        <v>0</v>
      </c>
      <c r="L424" s="303">
        <f t="shared" si="77"/>
        <v>0</v>
      </c>
      <c r="M424" s="303">
        <f t="shared" si="78"/>
        <v>0</v>
      </c>
      <c r="N424" s="307">
        <f t="shared" si="79"/>
        <v>2.1282176021486521E-10</v>
      </c>
    </row>
    <row r="425" spans="2:14" x14ac:dyDescent="0.45">
      <c r="B425" s="306">
        <f t="shared" si="80"/>
        <v>56888</v>
      </c>
      <c r="C425" s="303">
        <f t="shared" si="81"/>
        <v>-1.2187229003757238E-10</v>
      </c>
      <c r="D425" s="303">
        <f t="shared" si="72"/>
        <v>0</v>
      </c>
      <c r="E425" s="303">
        <f t="shared" si="73"/>
        <v>0</v>
      </c>
      <c r="F425" s="303">
        <f t="shared" si="74"/>
        <v>0</v>
      </c>
      <c r="G425" s="307">
        <f t="shared" si="75"/>
        <v>-1.2187229003757238E-10</v>
      </c>
      <c r="I425" s="306">
        <f t="shared" si="82"/>
        <v>57892</v>
      </c>
      <c r="J425" s="303">
        <f t="shared" si="83"/>
        <v>2.1282176021486521E-10</v>
      </c>
      <c r="K425" s="303">
        <f t="shared" si="76"/>
        <v>0</v>
      </c>
      <c r="L425" s="303">
        <f t="shared" si="77"/>
        <v>0</v>
      </c>
      <c r="M425" s="303">
        <f t="shared" si="78"/>
        <v>0</v>
      </c>
      <c r="N425" s="307">
        <f t="shared" si="79"/>
        <v>2.1282176021486521E-10</v>
      </c>
    </row>
    <row r="426" spans="2:14" x14ac:dyDescent="0.45">
      <c r="B426" s="306">
        <f t="shared" si="80"/>
        <v>56919</v>
      </c>
      <c r="C426" s="303">
        <f t="shared" si="81"/>
        <v>-1.2187229003757238E-10</v>
      </c>
      <c r="D426" s="303">
        <f t="shared" si="72"/>
        <v>0</v>
      </c>
      <c r="E426" s="303">
        <f t="shared" si="73"/>
        <v>0</v>
      </c>
      <c r="F426" s="303">
        <f t="shared" si="74"/>
        <v>0</v>
      </c>
      <c r="G426" s="307">
        <f t="shared" si="75"/>
        <v>-1.2187229003757238E-10</v>
      </c>
      <c r="I426" s="306">
        <f t="shared" si="82"/>
        <v>57923</v>
      </c>
      <c r="J426" s="303">
        <f t="shared" si="83"/>
        <v>2.1282176021486521E-10</v>
      </c>
      <c r="K426" s="303">
        <f t="shared" si="76"/>
        <v>0</v>
      </c>
      <c r="L426" s="303">
        <f t="shared" si="77"/>
        <v>0</v>
      </c>
      <c r="M426" s="303">
        <f t="shared" si="78"/>
        <v>0</v>
      </c>
      <c r="N426" s="307">
        <f t="shared" si="79"/>
        <v>2.1282176021486521E-10</v>
      </c>
    </row>
    <row r="427" spans="2:14" x14ac:dyDescent="0.45">
      <c r="B427" s="306">
        <f t="shared" si="80"/>
        <v>56949</v>
      </c>
      <c r="C427" s="303">
        <f t="shared" si="81"/>
        <v>-1.2187229003757238E-10</v>
      </c>
      <c r="D427" s="303">
        <f t="shared" si="72"/>
        <v>0</v>
      </c>
      <c r="E427" s="303">
        <f t="shared" si="73"/>
        <v>0</v>
      </c>
      <c r="F427" s="303">
        <f t="shared" si="74"/>
        <v>0</v>
      </c>
      <c r="G427" s="307">
        <f t="shared" si="75"/>
        <v>-1.2187229003757238E-10</v>
      </c>
      <c r="I427" s="306">
        <f t="shared" si="82"/>
        <v>57954</v>
      </c>
      <c r="J427" s="303">
        <f t="shared" si="83"/>
        <v>2.1282176021486521E-10</v>
      </c>
      <c r="K427" s="303">
        <f t="shared" si="76"/>
        <v>0</v>
      </c>
      <c r="L427" s="303">
        <f t="shared" si="77"/>
        <v>0</v>
      </c>
      <c r="M427" s="303">
        <f t="shared" si="78"/>
        <v>0</v>
      </c>
      <c r="N427" s="307">
        <f t="shared" si="79"/>
        <v>2.1282176021486521E-10</v>
      </c>
    </row>
    <row r="428" spans="2:14" x14ac:dyDescent="0.45">
      <c r="B428" s="306">
        <f t="shared" si="80"/>
        <v>56980</v>
      </c>
      <c r="C428" s="303">
        <f t="shared" si="81"/>
        <v>-1.2187229003757238E-10</v>
      </c>
      <c r="D428" s="303">
        <f t="shared" si="72"/>
        <v>0</v>
      </c>
      <c r="E428" s="303">
        <f t="shared" si="73"/>
        <v>0</v>
      </c>
      <c r="F428" s="303">
        <f t="shared" si="74"/>
        <v>0</v>
      </c>
      <c r="G428" s="307">
        <f t="shared" si="75"/>
        <v>-1.2187229003757238E-10</v>
      </c>
      <c r="I428" s="306">
        <f t="shared" si="82"/>
        <v>57984</v>
      </c>
      <c r="J428" s="303">
        <f t="shared" si="83"/>
        <v>2.1282176021486521E-10</v>
      </c>
      <c r="K428" s="303">
        <f t="shared" si="76"/>
        <v>0</v>
      </c>
      <c r="L428" s="303">
        <f t="shared" si="77"/>
        <v>0</v>
      </c>
      <c r="M428" s="303">
        <f t="shared" si="78"/>
        <v>0</v>
      </c>
      <c r="N428" s="307">
        <f t="shared" si="79"/>
        <v>2.1282176021486521E-10</v>
      </c>
    </row>
    <row r="429" spans="2:14" x14ac:dyDescent="0.45">
      <c r="B429" s="306">
        <f t="shared" si="80"/>
        <v>57011</v>
      </c>
      <c r="C429" s="303">
        <f t="shared" si="81"/>
        <v>-1.2187229003757238E-10</v>
      </c>
      <c r="D429" s="303">
        <f t="shared" si="72"/>
        <v>0</v>
      </c>
      <c r="E429" s="303">
        <f t="shared" si="73"/>
        <v>0</v>
      </c>
      <c r="F429" s="303">
        <f t="shared" si="74"/>
        <v>0</v>
      </c>
      <c r="G429" s="307">
        <f t="shared" si="75"/>
        <v>-1.2187229003757238E-10</v>
      </c>
      <c r="I429" s="306">
        <f t="shared" si="82"/>
        <v>58015</v>
      </c>
      <c r="J429" s="303">
        <f t="shared" si="83"/>
        <v>2.1282176021486521E-10</v>
      </c>
      <c r="K429" s="303">
        <f t="shared" si="76"/>
        <v>0</v>
      </c>
      <c r="L429" s="303">
        <f t="shared" si="77"/>
        <v>0</v>
      </c>
      <c r="M429" s="303">
        <f t="shared" si="78"/>
        <v>0</v>
      </c>
      <c r="N429" s="307">
        <f t="shared" si="79"/>
        <v>2.1282176021486521E-10</v>
      </c>
    </row>
    <row r="430" spans="2:14" x14ac:dyDescent="0.45">
      <c r="B430" s="306">
        <f t="shared" si="80"/>
        <v>57040</v>
      </c>
      <c r="C430" s="303">
        <f t="shared" si="81"/>
        <v>-1.2187229003757238E-10</v>
      </c>
      <c r="D430" s="303">
        <f t="shared" si="72"/>
        <v>0</v>
      </c>
      <c r="E430" s="303">
        <f t="shared" si="73"/>
        <v>0</v>
      </c>
      <c r="F430" s="303">
        <f t="shared" si="74"/>
        <v>0</v>
      </c>
      <c r="G430" s="307">
        <f t="shared" si="75"/>
        <v>-1.2187229003757238E-10</v>
      </c>
      <c r="I430" s="306">
        <f t="shared" si="82"/>
        <v>58045</v>
      </c>
      <c r="J430" s="303">
        <f t="shared" si="83"/>
        <v>2.1282176021486521E-10</v>
      </c>
      <c r="K430" s="303">
        <f t="shared" si="76"/>
        <v>0</v>
      </c>
      <c r="L430" s="303">
        <f t="shared" si="77"/>
        <v>0</v>
      </c>
      <c r="M430" s="303">
        <f t="shared" si="78"/>
        <v>0</v>
      </c>
      <c r="N430" s="307">
        <f t="shared" si="79"/>
        <v>2.1282176021486521E-10</v>
      </c>
    </row>
    <row r="431" spans="2:14" x14ac:dyDescent="0.45">
      <c r="B431" s="306">
        <f t="shared" si="80"/>
        <v>57071</v>
      </c>
      <c r="C431" s="303">
        <f t="shared" si="81"/>
        <v>-1.2187229003757238E-10</v>
      </c>
      <c r="D431" s="303">
        <f t="shared" si="72"/>
        <v>0</v>
      </c>
      <c r="E431" s="303">
        <f t="shared" si="73"/>
        <v>0</v>
      </c>
      <c r="F431" s="303">
        <f t="shared" si="74"/>
        <v>0</v>
      </c>
      <c r="G431" s="307">
        <f t="shared" si="75"/>
        <v>-1.2187229003757238E-10</v>
      </c>
      <c r="I431" s="306">
        <f t="shared" si="82"/>
        <v>58076</v>
      </c>
      <c r="J431" s="303">
        <f t="shared" si="83"/>
        <v>2.1282176021486521E-10</v>
      </c>
      <c r="K431" s="303">
        <f t="shared" si="76"/>
        <v>0</v>
      </c>
      <c r="L431" s="303">
        <f t="shared" si="77"/>
        <v>0</v>
      </c>
      <c r="M431" s="303">
        <f t="shared" si="78"/>
        <v>0</v>
      </c>
      <c r="N431" s="307">
        <f t="shared" si="79"/>
        <v>2.1282176021486521E-10</v>
      </c>
    </row>
    <row r="432" spans="2:14" x14ac:dyDescent="0.45">
      <c r="B432" s="306">
        <f t="shared" si="80"/>
        <v>57101</v>
      </c>
      <c r="C432" s="303">
        <f t="shared" si="81"/>
        <v>-1.2187229003757238E-10</v>
      </c>
      <c r="D432" s="303">
        <f t="shared" si="72"/>
        <v>0</v>
      </c>
      <c r="E432" s="303">
        <f t="shared" si="73"/>
        <v>0</v>
      </c>
      <c r="F432" s="303">
        <f t="shared" si="74"/>
        <v>0</v>
      </c>
      <c r="G432" s="307">
        <f t="shared" si="75"/>
        <v>-1.2187229003757238E-10</v>
      </c>
      <c r="I432" s="306">
        <f t="shared" si="82"/>
        <v>58107</v>
      </c>
      <c r="J432" s="303">
        <f t="shared" si="83"/>
        <v>2.1282176021486521E-10</v>
      </c>
      <c r="K432" s="303">
        <f t="shared" si="76"/>
        <v>0</v>
      </c>
      <c r="L432" s="303">
        <f t="shared" si="77"/>
        <v>0</v>
      </c>
      <c r="M432" s="303">
        <f t="shared" si="78"/>
        <v>0</v>
      </c>
      <c r="N432" s="307">
        <f t="shared" si="79"/>
        <v>2.1282176021486521E-10</v>
      </c>
    </row>
    <row r="433" spans="2:14" x14ac:dyDescent="0.45">
      <c r="B433" s="306">
        <f t="shared" si="80"/>
        <v>57132</v>
      </c>
      <c r="C433" s="303">
        <f t="shared" si="81"/>
        <v>-1.2187229003757238E-10</v>
      </c>
      <c r="D433" s="303">
        <f t="shared" si="72"/>
        <v>0</v>
      </c>
      <c r="E433" s="303">
        <f t="shared" si="73"/>
        <v>0</v>
      </c>
      <c r="F433" s="303">
        <f t="shared" si="74"/>
        <v>0</v>
      </c>
      <c r="G433" s="307">
        <f t="shared" si="75"/>
        <v>-1.2187229003757238E-10</v>
      </c>
      <c r="I433" s="306">
        <f t="shared" si="82"/>
        <v>58135</v>
      </c>
      <c r="J433" s="303">
        <f t="shared" si="83"/>
        <v>2.1282176021486521E-10</v>
      </c>
      <c r="K433" s="303">
        <f t="shared" si="76"/>
        <v>0</v>
      </c>
      <c r="L433" s="303">
        <f t="shared" si="77"/>
        <v>0</v>
      </c>
      <c r="M433" s="303">
        <f t="shared" si="78"/>
        <v>0</v>
      </c>
      <c r="N433" s="307">
        <f t="shared" si="79"/>
        <v>2.1282176021486521E-10</v>
      </c>
    </row>
    <row r="434" spans="2:14" x14ac:dyDescent="0.45">
      <c r="B434" s="306">
        <f t="shared" si="80"/>
        <v>57162</v>
      </c>
      <c r="C434" s="303">
        <f t="shared" si="81"/>
        <v>-1.2187229003757238E-10</v>
      </c>
      <c r="D434" s="303">
        <f t="shared" si="72"/>
        <v>0</v>
      </c>
      <c r="E434" s="303">
        <f t="shared" si="73"/>
        <v>0</v>
      </c>
      <c r="F434" s="303">
        <f t="shared" si="74"/>
        <v>0</v>
      </c>
      <c r="G434" s="307">
        <f t="shared" si="75"/>
        <v>-1.2187229003757238E-10</v>
      </c>
      <c r="I434" s="306">
        <f t="shared" si="82"/>
        <v>58166</v>
      </c>
      <c r="J434" s="303">
        <f t="shared" si="83"/>
        <v>2.1282176021486521E-10</v>
      </c>
      <c r="K434" s="303">
        <f t="shared" si="76"/>
        <v>0</v>
      </c>
      <c r="L434" s="303">
        <f t="shared" si="77"/>
        <v>0</v>
      </c>
      <c r="M434" s="303">
        <f t="shared" si="78"/>
        <v>0</v>
      </c>
      <c r="N434" s="307">
        <f t="shared" si="79"/>
        <v>2.1282176021486521E-10</v>
      </c>
    </row>
    <row r="435" spans="2:14" x14ac:dyDescent="0.45">
      <c r="B435" s="306">
        <f t="shared" si="80"/>
        <v>57193</v>
      </c>
      <c r="C435" s="303">
        <f t="shared" si="81"/>
        <v>-1.2187229003757238E-10</v>
      </c>
      <c r="D435" s="303">
        <f t="shared" si="72"/>
        <v>0</v>
      </c>
      <c r="E435" s="303">
        <f t="shared" si="73"/>
        <v>0</v>
      </c>
      <c r="F435" s="303">
        <f t="shared" si="74"/>
        <v>0</v>
      </c>
      <c r="G435" s="307">
        <f t="shared" si="75"/>
        <v>-1.2187229003757238E-10</v>
      </c>
      <c r="I435" s="306">
        <f t="shared" si="82"/>
        <v>58196</v>
      </c>
      <c r="J435" s="303">
        <f t="shared" si="83"/>
        <v>2.1282176021486521E-10</v>
      </c>
      <c r="K435" s="303">
        <f t="shared" si="76"/>
        <v>0</v>
      </c>
      <c r="L435" s="303">
        <f t="shared" si="77"/>
        <v>0</v>
      </c>
      <c r="M435" s="303">
        <f t="shared" si="78"/>
        <v>0</v>
      </c>
      <c r="N435" s="307">
        <f t="shared" si="79"/>
        <v>2.1282176021486521E-10</v>
      </c>
    </row>
    <row r="436" spans="2:14" x14ac:dyDescent="0.45">
      <c r="B436" s="306">
        <f t="shared" si="80"/>
        <v>57224</v>
      </c>
      <c r="C436" s="303">
        <f t="shared" si="81"/>
        <v>-1.2187229003757238E-10</v>
      </c>
      <c r="D436" s="303">
        <f t="shared" si="72"/>
        <v>0</v>
      </c>
      <c r="E436" s="303">
        <f t="shared" si="73"/>
        <v>0</v>
      </c>
      <c r="F436" s="303">
        <f t="shared" si="74"/>
        <v>0</v>
      </c>
      <c r="G436" s="307">
        <f t="shared" si="75"/>
        <v>-1.2187229003757238E-10</v>
      </c>
      <c r="I436" s="306">
        <f t="shared" si="82"/>
        <v>58227</v>
      </c>
      <c r="J436" s="303">
        <f t="shared" si="83"/>
        <v>2.1282176021486521E-10</v>
      </c>
      <c r="K436" s="303">
        <f t="shared" si="76"/>
        <v>0</v>
      </c>
      <c r="L436" s="303">
        <f t="shared" si="77"/>
        <v>0</v>
      </c>
      <c r="M436" s="303">
        <f t="shared" si="78"/>
        <v>0</v>
      </c>
      <c r="N436" s="307">
        <f t="shared" si="79"/>
        <v>2.1282176021486521E-10</v>
      </c>
    </row>
    <row r="437" spans="2:14" x14ac:dyDescent="0.45">
      <c r="B437" s="306">
        <f t="shared" si="80"/>
        <v>57254</v>
      </c>
      <c r="C437" s="303">
        <f t="shared" si="81"/>
        <v>-1.2187229003757238E-10</v>
      </c>
      <c r="D437" s="303">
        <f t="shared" si="72"/>
        <v>0</v>
      </c>
      <c r="E437" s="303">
        <f t="shared" si="73"/>
        <v>0</v>
      </c>
      <c r="F437" s="303">
        <f t="shared" si="74"/>
        <v>0</v>
      </c>
      <c r="G437" s="307">
        <f t="shared" si="75"/>
        <v>-1.2187229003757238E-10</v>
      </c>
      <c r="I437" s="306">
        <f t="shared" si="82"/>
        <v>58257</v>
      </c>
      <c r="J437" s="303">
        <f t="shared" si="83"/>
        <v>2.1282176021486521E-10</v>
      </c>
      <c r="K437" s="303">
        <f t="shared" si="76"/>
        <v>0</v>
      </c>
      <c r="L437" s="303">
        <f t="shared" si="77"/>
        <v>0</v>
      </c>
      <c r="M437" s="303">
        <f t="shared" si="78"/>
        <v>0</v>
      </c>
      <c r="N437" s="307">
        <f t="shared" si="79"/>
        <v>2.1282176021486521E-10</v>
      </c>
    </row>
    <row r="438" spans="2:14" x14ac:dyDescent="0.45">
      <c r="B438" s="306">
        <f t="shared" si="80"/>
        <v>57285</v>
      </c>
      <c r="C438" s="303">
        <f t="shared" si="81"/>
        <v>-1.2187229003757238E-10</v>
      </c>
      <c r="D438" s="303">
        <f t="shared" si="72"/>
        <v>0</v>
      </c>
      <c r="E438" s="303">
        <f t="shared" si="73"/>
        <v>0</v>
      </c>
      <c r="F438" s="303">
        <f t="shared" si="74"/>
        <v>0</v>
      </c>
      <c r="G438" s="307">
        <f t="shared" si="75"/>
        <v>-1.2187229003757238E-10</v>
      </c>
      <c r="I438" s="306">
        <f t="shared" si="82"/>
        <v>58288</v>
      </c>
      <c r="J438" s="303">
        <f t="shared" si="83"/>
        <v>2.1282176021486521E-10</v>
      </c>
      <c r="K438" s="303">
        <f t="shared" si="76"/>
        <v>0</v>
      </c>
      <c r="L438" s="303">
        <f t="shared" si="77"/>
        <v>0</v>
      </c>
      <c r="M438" s="303">
        <f t="shared" si="78"/>
        <v>0</v>
      </c>
      <c r="N438" s="307">
        <f t="shared" si="79"/>
        <v>2.1282176021486521E-10</v>
      </c>
    </row>
    <row r="439" spans="2:14" x14ac:dyDescent="0.45">
      <c r="B439" s="306">
        <f t="shared" si="80"/>
        <v>57315</v>
      </c>
      <c r="C439" s="303">
        <f t="shared" si="81"/>
        <v>-1.2187229003757238E-10</v>
      </c>
      <c r="D439" s="303">
        <f t="shared" si="72"/>
        <v>0</v>
      </c>
      <c r="E439" s="303">
        <f t="shared" si="73"/>
        <v>0</v>
      </c>
      <c r="F439" s="303">
        <f t="shared" si="74"/>
        <v>0</v>
      </c>
      <c r="G439" s="307">
        <f t="shared" si="75"/>
        <v>-1.2187229003757238E-10</v>
      </c>
      <c r="I439" s="306">
        <f t="shared" si="82"/>
        <v>58319</v>
      </c>
      <c r="J439" s="303">
        <f t="shared" si="83"/>
        <v>2.1282176021486521E-10</v>
      </c>
      <c r="K439" s="303">
        <f t="shared" si="76"/>
        <v>0</v>
      </c>
      <c r="L439" s="303">
        <f t="shared" si="77"/>
        <v>0</v>
      </c>
      <c r="M439" s="303">
        <f t="shared" si="78"/>
        <v>0</v>
      </c>
      <c r="N439" s="307">
        <f t="shared" si="79"/>
        <v>2.1282176021486521E-10</v>
      </c>
    </row>
    <row r="440" spans="2:14" x14ac:dyDescent="0.45">
      <c r="B440" s="306">
        <f t="shared" si="80"/>
        <v>57346</v>
      </c>
      <c r="C440" s="303">
        <f t="shared" si="81"/>
        <v>-1.2187229003757238E-10</v>
      </c>
      <c r="D440" s="303">
        <f t="shared" si="72"/>
        <v>0</v>
      </c>
      <c r="E440" s="303">
        <f t="shared" si="73"/>
        <v>0</v>
      </c>
      <c r="F440" s="303">
        <f t="shared" si="74"/>
        <v>0</v>
      </c>
      <c r="G440" s="307">
        <f t="shared" si="75"/>
        <v>-1.2187229003757238E-10</v>
      </c>
      <c r="I440" s="306">
        <f t="shared" si="82"/>
        <v>58349</v>
      </c>
      <c r="J440" s="303">
        <f t="shared" si="83"/>
        <v>2.1282176021486521E-10</v>
      </c>
      <c r="K440" s="303">
        <f t="shared" si="76"/>
        <v>0</v>
      </c>
      <c r="L440" s="303">
        <f t="shared" si="77"/>
        <v>0</v>
      </c>
      <c r="M440" s="303">
        <f t="shared" si="78"/>
        <v>0</v>
      </c>
      <c r="N440" s="307">
        <f t="shared" si="79"/>
        <v>2.1282176021486521E-10</v>
      </c>
    </row>
    <row r="441" spans="2:14" x14ac:dyDescent="0.45">
      <c r="B441" s="306">
        <f t="shared" si="80"/>
        <v>57377</v>
      </c>
      <c r="C441" s="303">
        <f t="shared" si="81"/>
        <v>-1.2187229003757238E-10</v>
      </c>
      <c r="D441" s="303">
        <f t="shared" si="72"/>
        <v>0</v>
      </c>
      <c r="E441" s="303">
        <f t="shared" si="73"/>
        <v>0</v>
      </c>
      <c r="F441" s="303">
        <f t="shared" si="74"/>
        <v>0</v>
      </c>
      <c r="G441" s="307">
        <f t="shared" si="75"/>
        <v>-1.2187229003757238E-10</v>
      </c>
      <c r="I441" s="306">
        <f t="shared" si="82"/>
        <v>58380</v>
      </c>
      <c r="J441" s="303">
        <f t="shared" si="83"/>
        <v>2.1282176021486521E-10</v>
      </c>
      <c r="K441" s="303">
        <f t="shared" si="76"/>
        <v>0</v>
      </c>
      <c r="L441" s="303">
        <f t="shared" si="77"/>
        <v>0</v>
      </c>
      <c r="M441" s="303">
        <f t="shared" si="78"/>
        <v>0</v>
      </c>
      <c r="N441" s="307">
        <f t="shared" si="79"/>
        <v>2.1282176021486521E-10</v>
      </c>
    </row>
    <row r="442" spans="2:14" x14ac:dyDescent="0.45">
      <c r="B442" s="306">
        <f t="shared" si="80"/>
        <v>57405</v>
      </c>
      <c r="C442" s="303">
        <f t="shared" si="81"/>
        <v>-1.2187229003757238E-10</v>
      </c>
      <c r="D442" s="303">
        <f t="shared" si="72"/>
        <v>0</v>
      </c>
      <c r="E442" s="303">
        <f t="shared" si="73"/>
        <v>0</v>
      </c>
      <c r="F442" s="303">
        <f t="shared" si="74"/>
        <v>0</v>
      </c>
      <c r="G442" s="307">
        <f t="shared" si="75"/>
        <v>-1.2187229003757238E-10</v>
      </c>
      <c r="I442" s="306">
        <f t="shared" si="82"/>
        <v>58410</v>
      </c>
      <c r="J442" s="303">
        <f t="shared" si="83"/>
        <v>2.1282176021486521E-10</v>
      </c>
      <c r="K442" s="303">
        <f t="shared" si="76"/>
        <v>0</v>
      </c>
      <c r="L442" s="303">
        <f t="shared" si="77"/>
        <v>0</v>
      </c>
      <c r="M442" s="303">
        <f t="shared" si="78"/>
        <v>0</v>
      </c>
      <c r="N442" s="307">
        <f t="shared" si="79"/>
        <v>2.1282176021486521E-10</v>
      </c>
    </row>
    <row r="443" spans="2:14" x14ac:dyDescent="0.45">
      <c r="B443" s="306">
        <f t="shared" si="80"/>
        <v>57436</v>
      </c>
      <c r="C443" s="303">
        <f t="shared" si="81"/>
        <v>-1.2187229003757238E-10</v>
      </c>
      <c r="D443" s="303">
        <f t="shared" si="72"/>
        <v>0</v>
      </c>
      <c r="E443" s="303">
        <f t="shared" si="73"/>
        <v>0</v>
      </c>
      <c r="F443" s="303">
        <f t="shared" si="74"/>
        <v>0</v>
      </c>
      <c r="G443" s="307">
        <f t="shared" si="75"/>
        <v>-1.2187229003757238E-10</v>
      </c>
      <c r="I443" s="306">
        <f t="shared" si="82"/>
        <v>58441</v>
      </c>
      <c r="J443" s="303">
        <f t="shared" si="83"/>
        <v>2.1282176021486521E-10</v>
      </c>
      <c r="K443" s="303">
        <f t="shared" si="76"/>
        <v>0</v>
      </c>
      <c r="L443" s="303">
        <f t="shared" si="77"/>
        <v>0</v>
      </c>
      <c r="M443" s="303">
        <f t="shared" si="78"/>
        <v>0</v>
      </c>
      <c r="N443" s="307">
        <f t="shared" si="79"/>
        <v>2.1282176021486521E-10</v>
      </c>
    </row>
    <row r="444" spans="2:14" x14ac:dyDescent="0.45">
      <c r="B444" s="306">
        <f t="shared" si="80"/>
        <v>57466</v>
      </c>
      <c r="C444" s="303">
        <f t="shared" si="81"/>
        <v>-1.2187229003757238E-10</v>
      </c>
      <c r="D444" s="303">
        <f t="shared" si="72"/>
        <v>0</v>
      </c>
      <c r="E444" s="303">
        <f t="shared" si="73"/>
        <v>0</v>
      </c>
      <c r="F444" s="303">
        <f t="shared" si="74"/>
        <v>0</v>
      </c>
      <c r="G444" s="307">
        <f t="shared" si="75"/>
        <v>-1.2187229003757238E-10</v>
      </c>
      <c r="I444" s="306">
        <f t="shared" si="82"/>
        <v>58472</v>
      </c>
      <c r="J444" s="303">
        <f t="shared" si="83"/>
        <v>2.1282176021486521E-10</v>
      </c>
      <c r="K444" s="303">
        <f t="shared" si="76"/>
        <v>0</v>
      </c>
      <c r="L444" s="303">
        <f t="shared" si="77"/>
        <v>0</v>
      </c>
      <c r="M444" s="303">
        <f t="shared" si="78"/>
        <v>0</v>
      </c>
      <c r="N444" s="307">
        <f t="shared" si="79"/>
        <v>2.1282176021486521E-10</v>
      </c>
    </row>
    <row r="445" spans="2:14" x14ac:dyDescent="0.45">
      <c r="B445" s="306">
        <f t="shared" si="80"/>
        <v>57497</v>
      </c>
      <c r="C445" s="303">
        <f t="shared" si="81"/>
        <v>-1.2187229003757238E-10</v>
      </c>
      <c r="D445" s="303">
        <f t="shared" si="72"/>
        <v>0</v>
      </c>
      <c r="E445" s="303">
        <f t="shared" si="73"/>
        <v>0</v>
      </c>
      <c r="F445" s="303">
        <f t="shared" si="74"/>
        <v>0</v>
      </c>
      <c r="G445" s="307">
        <f t="shared" si="75"/>
        <v>-1.2187229003757238E-10</v>
      </c>
      <c r="I445" s="306">
        <f t="shared" si="82"/>
        <v>58501</v>
      </c>
      <c r="J445" s="303">
        <f t="shared" si="83"/>
        <v>2.1282176021486521E-10</v>
      </c>
      <c r="K445" s="303">
        <f t="shared" si="76"/>
        <v>0</v>
      </c>
      <c r="L445" s="303">
        <f t="shared" si="77"/>
        <v>0</v>
      </c>
      <c r="M445" s="303">
        <f t="shared" si="78"/>
        <v>0</v>
      </c>
      <c r="N445" s="307">
        <f t="shared" si="79"/>
        <v>2.1282176021486521E-10</v>
      </c>
    </row>
    <row r="446" spans="2:14" x14ac:dyDescent="0.45">
      <c r="B446" s="306">
        <f t="shared" si="80"/>
        <v>57527</v>
      </c>
      <c r="C446" s="303">
        <f t="shared" si="81"/>
        <v>-1.2187229003757238E-10</v>
      </c>
      <c r="D446" s="303">
        <f t="shared" si="72"/>
        <v>0</v>
      </c>
      <c r="E446" s="303">
        <f t="shared" si="73"/>
        <v>0</v>
      </c>
      <c r="F446" s="303">
        <f t="shared" si="74"/>
        <v>0</v>
      </c>
      <c r="G446" s="307">
        <f t="shared" si="75"/>
        <v>-1.2187229003757238E-10</v>
      </c>
      <c r="I446" s="306">
        <f t="shared" si="82"/>
        <v>58532</v>
      </c>
      <c r="J446" s="303">
        <f t="shared" si="83"/>
        <v>2.1282176021486521E-10</v>
      </c>
      <c r="K446" s="303">
        <f t="shared" si="76"/>
        <v>0</v>
      </c>
      <c r="L446" s="303">
        <f t="shared" si="77"/>
        <v>0</v>
      </c>
      <c r="M446" s="303">
        <f t="shared" si="78"/>
        <v>0</v>
      </c>
      <c r="N446" s="307">
        <f t="shared" si="79"/>
        <v>2.1282176021486521E-10</v>
      </c>
    </row>
    <row r="447" spans="2:14" x14ac:dyDescent="0.45">
      <c r="B447" s="306">
        <f t="shared" si="80"/>
        <v>57558</v>
      </c>
      <c r="C447" s="303">
        <f t="shared" si="81"/>
        <v>-1.2187229003757238E-10</v>
      </c>
      <c r="D447" s="303">
        <f t="shared" si="72"/>
        <v>0</v>
      </c>
      <c r="E447" s="303">
        <f t="shared" si="73"/>
        <v>0</v>
      </c>
      <c r="F447" s="303">
        <f t="shared" si="74"/>
        <v>0</v>
      </c>
      <c r="G447" s="307">
        <f t="shared" si="75"/>
        <v>-1.2187229003757238E-10</v>
      </c>
      <c r="I447" s="306">
        <f t="shared" si="82"/>
        <v>58562</v>
      </c>
      <c r="J447" s="303">
        <f t="shared" si="83"/>
        <v>2.1282176021486521E-10</v>
      </c>
      <c r="K447" s="303">
        <f t="shared" si="76"/>
        <v>0</v>
      </c>
      <c r="L447" s="303">
        <f t="shared" si="77"/>
        <v>0</v>
      </c>
      <c r="M447" s="303">
        <f t="shared" si="78"/>
        <v>0</v>
      </c>
      <c r="N447" s="307">
        <f t="shared" si="79"/>
        <v>2.1282176021486521E-10</v>
      </c>
    </row>
    <row r="448" spans="2:14" x14ac:dyDescent="0.45">
      <c r="B448" s="306">
        <f t="shared" si="80"/>
        <v>57589</v>
      </c>
      <c r="C448" s="303">
        <f t="shared" si="81"/>
        <v>-1.2187229003757238E-10</v>
      </c>
      <c r="D448" s="303">
        <f t="shared" si="72"/>
        <v>0</v>
      </c>
      <c r="E448" s="303">
        <f t="shared" si="73"/>
        <v>0</v>
      </c>
      <c r="F448" s="303">
        <f t="shared" si="74"/>
        <v>0</v>
      </c>
      <c r="G448" s="307">
        <f t="shared" si="75"/>
        <v>-1.2187229003757238E-10</v>
      </c>
      <c r="I448" s="306">
        <f t="shared" si="82"/>
        <v>58593</v>
      </c>
      <c r="J448" s="303">
        <f t="shared" si="83"/>
        <v>2.1282176021486521E-10</v>
      </c>
      <c r="K448" s="303">
        <f t="shared" si="76"/>
        <v>0</v>
      </c>
      <c r="L448" s="303">
        <f t="shared" si="77"/>
        <v>0</v>
      </c>
      <c r="M448" s="303">
        <f t="shared" si="78"/>
        <v>0</v>
      </c>
      <c r="N448" s="307">
        <f t="shared" si="79"/>
        <v>2.1282176021486521E-10</v>
      </c>
    </row>
    <row r="449" spans="2:14" x14ac:dyDescent="0.45">
      <c r="B449" s="306">
        <f t="shared" si="80"/>
        <v>57619</v>
      </c>
      <c r="C449" s="303">
        <f t="shared" si="81"/>
        <v>-1.2187229003757238E-10</v>
      </c>
      <c r="D449" s="303">
        <f t="shared" si="72"/>
        <v>0</v>
      </c>
      <c r="E449" s="303">
        <f t="shared" si="73"/>
        <v>0</v>
      </c>
      <c r="F449" s="303">
        <f t="shared" si="74"/>
        <v>0</v>
      </c>
      <c r="G449" s="307">
        <f t="shared" si="75"/>
        <v>-1.2187229003757238E-10</v>
      </c>
      <c r="I449" s="306">
        <f t="shared" si="82"/>
        <v>58623</v>
      </c>
      <c r="J449" s="303">
        <f t="shared" si="83"/>
        <v>2.1282176021486521E-10</v>
      </c>
      <c r="K449" s="303">
        <f t="shared" si="76"/>
        <v>0</v>
      </c>
      <c r="L449" s="303">
        <f t="shared" si="77"/>
        <v>0</v>
      </c>
      <c r="M449" s="303">
        <f t="shared" si="78"/>
        <v>0</v>
      </c>
      <c r="N449" s="307">
        <f t="shared" si="79"/>
        <v>2.1282176021486521E-10</v>
      </c>
    </row>
    <row r="450" spans="2:14" x14ac:dyDescent="0.45">
      <c r="B450" s="306">
        <f t="shared" si="80"/>
        <v>57650</v>
      </c>
      <c r="C450" s="303">
        <f t="shared" si="81"/>
        <v>-1.2187229003757238E-10</v>
      </c>
      <c r="D450" s="303">
        <f t="shared" si="72"/>
        <v>0</v>
      </c>
      <c r="E450" s="303">
        <f t="shared" si="73"/>
        <v>0</v>
      </c>
      <c r="F450" s="303">
        <f t="shared" si="74"/>
        <v>0</v>
      </c>
      <c r="G450" s="307">
        <f t="shared" si="75"/>
        <v>-1.2187229003757238E-10</v>
      </c>
      <c r="I450" s="306">
        <f t="shared" si="82"/>
        <v>58654</v>
      </c>
      <c r="J450" s="303">
        <f t="shared" si="83"/>
        <v>2.1282176021486521E-10</v>
      </c>
      <c r="K450" s="303">
        <f t="shared" si="76"/>
        <v>0</v>
      </c>
      <c r="L450" s="303">
        <f t="shared" si="77"/>
        <v>0</v>
      </c>
      <c r="M450" s="303">
        <f t="shared" si="78"/>
        <v>0</v>
      </c>
      <c r="N450" s="307">
        <f t="shared" si="79"/>
        <v>2.1282176021486521E-10</v>
      </c>
    </row>
    <row r="451" spans="2:14" x14ac:dyDescent="0.45">
      <c r="B451" s="306">
        <f t="shared" si="80"/>
        <v>57680</v>
      </c>
      <c r="C451" s="303">
        <f t="shared" si="81"/>
        <v>-1.2187229003757238E-10</v>
      </c>
      <c r="D451" s="303">
        <f t="shared" si="72"/>
        <v>0</v>
      </c>
      <c r="E451" s="303">
        <f t="shared" si="73"/>
        <v>0</v>
      </c>
      <c r="F451" s="303">
        <f t="shared" si="74"/>
        <v>0</v>
      </c>
      <c r="G451" s="307">
        <f t="shared" si="75"/>
        <v>-1.2187229003757238E-10</v>
      </c>
      <c r="I451" s="306">
        <f t="shared" si="82"/>
        <v>58685</v>
      </c>
      <c r="J451" s="303">
        <f t="shared" si="83"/>
        <v>2.1282176021486521E-10</v>
      </c>
      <c r="K451" s="303">
        <f t="shared" si="76"/>
        <v>0</v>
      </c>
      <c r="L451" s="303">
        <f t="shared" si="77"/>
        <v>0</v>
      </c>
      <c r="M451" s="303">
        <f t="shared" si="78"/>
        <v>0</v>
      </c>
      <c r="N451" s="307">
        <f t="shared" si="79"/>
        <v>2.1282176021486521E-10</v>
      </c>
    </row>
    <row r="452" spans="2:14" x14ac:dyDescent="0.45">
      <c r="B452" s="306">
        <f t="shared" si="80"/>
        <v>57711</v>
      </c>
      <c r="C452" s="303">
        <f t="shared" si="81"/>
        <v>-1.2187229003757238E-10</v>
      </c>
      <c r="D452" s="303">
        <f t="shared" si="72"/>
        <v>0</v>
      </c>
      <c r="E452" s="303">
        <f t="shared" si="73"/>
        <v>0</v>
      </c>
      <c r="F452" s="303">
        <f t="shared" si="74"/>
        <v>0</v>
      </c>
      <c r="G452" s="307">
        <f t="shared" si="75"/>
        <v>-1.2187229003757238E-10</v>
      </c>
      <c r="I452" s="306">
        <f t="shared" si="82"/>
        <v>58715</v>
      </c>
      <c r="J452" s="303">
        <f t="shared" si="83"/>
        <v>2.1282176021486521E-10</v>
      </c>
      <c r="K452" s="303">
        <f t="shared" si="76"/>
        <v>0</v>
      </c>
      <c r="L452" s="303">
        <f t="shared" si="77"/>
        <v>0</v>
      </c>
      <c r="M452" s="303">
        <f t="shared" si="78"/>
        <v>0</v>
      </c>
      <c r="N452" s="307">
        <f t="shared" si="79"/>
        <v>2.1282176021486521E-10</v>
      </c>
    </row>
    <row r="453" spans="2:14" x14ac:dyDescent="0.45">
      <c r="B453" s="306">
        <f t="shared" si="80"/>
        <v>57742</v>
      </c>
      <c r="C453" s="303">
        <f t="shared" si="81"/>
        <v>-1.2187229003757238E-10</v>
      </c>
      <c r="D453" s="303">
        <f t="shared" si="72"/>
        <v>0</v>
      </c>
      <c r="E453" s="303">
        <f t="shared" si="73"/>
        <v>0</v>
      </c>
      <c r="F453" s="303">
        <f t="shared" si="74"/>
        <v>0</v>
      </c>
      <c r="G453" s="307">
        <f t="shared" si="75"/>
        <v>-1.2187229003757238E-10</v>
      </c>
      <c r="I453" s="306">
        <f t="shared" si="82"/>
        <v>58746</v>
      </c>
      <c r="J453" s="303">
        <f t="shared" si="83"/>
        <v>2.1282176021486521E-10</v>
      </c>
      <c r="K453" s="303">
        <f t="shared" si="76"/>
        <v>0</v>
      </c>
      <c r="L453" s="303">
        <f t="shared" si="77"/>
        <v>0</v>
      </c>
      <c r="M453" s="303">
        <f t="shared" si="78"/>
        <v>0</v>
      </c>
      <c r="N453" s="307">
        <f t="shared" si="79"/>
        <v>2.1282176021486521E-10</v>
      </c>
    </row>
    <row r="454" spans="2:14" x14ac:dyDescent="0.45">
      <c r="B454" s="306">
        <f t="shared" si="80"/>
        <v>57770</v>
      </c>
      <c r="C454" s="303">
        <f t="shared" si="81"/>
        <v>-1.2187229003757238E-10</v>
      </c>
      <c r="D454" s="303">
        <f t="shared" si="72"/>
        <v>0</v>
      </c>
      <c r="E454" s="303">
        <f t="shared" si="73"/>
        <v>0</v>
      </c>
      <c r="F454" s="303">
        <f t="shared" si="74"/>
        <v>0</v>
      </c>
      <c r="G454" s="307">
        <f t="shared" si="75"/>
        <v>-1.2187229003757238E-10</v>
      </c>
      <c r="I454" s="306">
        <f t="shared" si="82"/>
        <v>58776</v>
      </c>
      <c r="J454" s="303">
        <f t="shared" si="83"/>
        <v>2.1282176021486521E-10</v>
      </c>
      <c r="K454" s="303">
        <f t="shared" si="76"/>
        <v>0</v>
      </c>
      <c r="L454" s="303">
        <f t="shared" si="77"/>
        <v>0</v>
      </c>
      <c r="M454" s="303">
        <f t="shared" si="78"/>
        <v>0</v>
      </c>
      <c r="N454" s="307">
        <f t="shared" si="79"/>
        <v>2.1282176021486521E-10</v>
      </c>
    </row>
    <row r="455" spans="2:14" x14ac:dyDescent="0.45">
      <c r="B455" s="306">
        <f t="shared" si="80"/>
        <v>57801</v>
      </c>
      <c r="C455" s="303">
        <f t="shared" si="81"/>
        <v>-1.2187229003757238E-10</v>
      </c>
      <c r="D455" s="303">
        <f t="shared" si="72"/>
        <v>0</v>
      </c>
      <c r="E455" s="303">
        <f t="shared" si="73"/>
        <v>0</v>
      </c>
      <c r="F455" s="303">
        <f t="shared" si="74"/>
        <v>0</v>
      </c>
      <c r="G455" s="307">
        <f t="shared" si="75"/>
        <v>-1.2187229003757238E-10</v>
      </c>
      <c r="I455" s="306">
        <f t="shared" si="82"/>
        <v>58807</v>
      </c>
      <c r="J455" s="303">
        <f t="shared" si="83"/>
        <v>2.1282176021486521E-10</v>
      </c>
      <c r="K455" s="303">
        <f t="shared" si="76"/>
        <v>0</v>
      </c>
      <c r="L455" s="303">
        <f t="shared" si="77"/>
        <v>0</v>
      </c>
      <c r="M455" s="303">
        <f t="shared" si="78"/>
        <v>0</v>
      </c>
      <c r="N455" s="307">
        <f t="shared" si="79"/>
        <v>2.1282176021486521E-10</v>
      </c>
    </row>
    <row r="456" spans="2:14" x14ac:dyDescent="0.45">
      <c r="B456" s="306">
        <f t="shared" si="80"/>
        <v>57831</v>
      </c>
      <c r="C456" s="303">
        <f t="shared" si="81"/>
        <v>-1.2187229003757238E-10</v>
      </c>
      <c r="D456" s="303">
        <f t="shared" si="72"/>
        <v>0</v>
      </c>
      <c r="E456" s="303">
        <f t="shared" si="73"/>
        <v>0</v>
      </c>
      <c r="F456" s="303">
        <f t="shared" si="74"/>
        <v>0</v>
      </c>
      <c r="G456" s="307">
        <f t="shared" si="75"/>
        <v>-1.2187229003757238E-10</v>
      </c>
      <c r="I456" s="306">
        <f t="shared" si="82"/>
        <v>58838</v>
      </c>
      <c r="J456" s="303">
        <f t="shared" si="83"/>
        <v>2.1282176021486521E-10</v>
      </c>
      <c r="K456" s="303">
        <f t="shared" si="76"/>
        <v>0</v>
      </c>
      <c r="L456" s="303">
        <f t="shared" si="77"/>
        <v>0</v>
      </c>
      <c r="M456" s="303">
        <f t="shared" si="78"/>
        <v>0</v>
      </c>
      <c r="N456" s="307">
        <f t="shared" si="79"/>
        <v>2.1282176021486521E-10</v>
      </c>
    </row>
    <row r="457" spans="2:14" x14ac:dyDescent="0.45">
      <c r="B457" s="306">
        <f t="shared" si="80"/>
        <v>57862</v>
      </c>
      <c r="C457" s="303">
        <f t="shared" si="81"/>
        <v>-1.2187229003757238E-10</v>
      </c>
      <c r="D457" s="303">
        <f t="shared" si="72"/>
        <v>0</v>
      </c>
      <c r="E457" s="303">
        <f t="shared" si="73"/>
        <v>0</v>
      </c>
      <c r="F457" s="303">
        <f t="shared" si="74"/>
        <v>0</v>
      </c>
      <c r="G457" s="307">
        <f t="shared" si="75"/>
        <v>-1.2187229003757238E-10</v>
      </c>
      <c r="I457" s="306">
        <f t="shared" si="82"/>
        <v>58866</v>
      </c>
      <c r="J457" s="303">
        <f t="shared" si="83"/>
        <v>2.1282176021486521E-10</v>
      </c>
      <c r="K457" s="303">
        <f t="shared" si="76"/>
        <v>0</v>
      </c>
      <c r="L457" s="303">
        <f t="shared" si="77"/>
        <v>0</v>
      </c>
      <c r="M457" s="303">
        <f t="shared" si="78"/>
        <v>0</v>
      </c>
      <c r="N457" s="307">
        <f t="shared" si="79"/>
        <v>2.1282176021486521E-10</v>
      </c>
    </row>
    <row r="458" spans="2:14" x14ac:dyDescent="0.45">
      <c r="B458" s="306">
        <f t="shared" si="80"/>
        <v>57892</v>
      </c>
      <c r="C458" s="303">
        <f t="shared" si="81"/>
        <v>-1.2187229003757238E-10</v>
      </c>
      <c r="D458" s="303">
        <f t="shared" si="72"/>
        <v>0</v>
      </c>
      <c r="E458" s="303">
        <f t="shared" si="73"/>
        <v>0</v>
      </c>
      <c r="F458" s="303">
        <f t="shared" si="74"/>
        <v>0</v>
      </c>
      <c r="G458" s="307">
        <f t="shared" si="75"/>
        <v>-1.2187229003757238E-10</v>
      </c>
      <c r="I458" s="306">
        <f t="shared" si="82"/>
        <v>58897</v>
      </c>
      <c r="J458" s="303">
        <f t="shared" si="83"/>
        <v>2.1282176021486521E-10</v>
      </c>
      <c r="K458" s="303">
        <f t="shared" si="76"/>
        <v>0</v>
      </c>
      <c r="L458" s="303">
        <f t="shared" si="77"/>
        <v>0</v>
      </c>
      <c r="M458" s="303">
        <f t="shared" si="78"/>
        <v>0</v>
      </c>
      <c r="N458" s="307">
        <f t="shared" si="79"/>
        <v>2.1282176021486521E-10</v>
      </c>
    </row>
    <row r="459" spans="2:14" x14ac:dyDescent="0.45">
      <c r="B459" s="306">
        <f t="shared" si="80"/>
        <v>57923</v>
      </c>
      <c r="C459" s="303">
        <f t="shared" si="81"/>
        <v>-1.2187229003757238E-10</v>
      </c>
      <c r="D459" s="303">
        <f t="shared" si="72"/>
        <v>0</v>
      </c>
      <c r="E459" s="303">
        <f t="shared" si="73"/>
        <v>0</v>
      </c>
      <c r="F459" s="303">
        <f t="shared" si="74"/>
        <v>0</v>
      </c>
      <c r="G459" s="307">
        <f t="shared" si="75"/>
        <v>-1.2187229003757238E-10</v>
      </c>
      <c r="I459" s="306">
        <f t="shared" si="82"/>
        <v>58927</v>
      </c>
      <c r="J459" s="303">
        <f t="shared" si="83"/>
        <v>2.1282176021486521E-10</v>
      </c>
      <c r="K459" s="303">
        <f t="shared" si="76"/>
        <v>0</v>
      </c>
      <c r="L459" s="303">
        <f t="shared" si="77"/>
        <v>0</v>
      </c>
      <c r="M459" s="303">
        <f t="shared" si="78"/>
        <v>0</v>
      </c>
      <c r="N459" s="307">
        <f t="shared" si="79"/>
        <v>2.1282176021486521E-10</v>
      </c>
    </row>
    <row r="460" spans="2:14" x14ac:dyDescent="0.45">
      <c r="B460" s="306">
        <f t="shared" si="80"/>
        <v>57954</v>
      </c>
      <c r="C460" s="303">
        <f t="shared" si="81"/>
        <v>-1.2187229003757238E-10</v>
      </c>
      <c r="D460" s="303">
        <f t="shared" ref="D460:D489" si="84">IF(ROUNDDOWN(C460,0)=0,0,PMT($E$4/12,$E$7,-$E$8)+$E$5)</f>
        <v>0</v>
      </c>
      <c r="E460" s="303">
        <f t="shared" ref="E460:E489" si="85">IF(ROUNDDOWN(C460,0)=0,0,(C460*$E$4/12)+$E$5)</f>
        <v>0</v>
      </c>
      <c r="F460" s="303">
        <f t="shared" ref="F460:F489" si="86">D460-E460</f>
        <v>0</v>
      </c>
      <c r="G460" s="307">
        <f t="shared" ref="G460:G489" si="87">C460-F460</f>
        <v>-1.2187229003757238E-10</v>
      </c>
      <c r="I460" s="306">
        <f t="shared" si="82"/>
        <v>58958</v>
      </c>
      <c r="J460" s="303">
        <f t="shared" si="83"/>
        <v>2.1282176021486521E-10</v>
      </c>
      <c r="K460" s="303">
        <f t="shared" ref="K460:K489" si="88">IF(ROUNDDOWN(J460,0)=0,0,PMT($L$4/12,$L$7,-$L$8)+$L$5)</f>
        <v>0</v>
      </c>
      <c r="L460" s="303">
        <f t="shared" ref="L460:L489" si="89">IF(ROUNDDOWN(J460,0)=0,0,(J460*$L$4/12)+$L$5)</f>
        <v>0</v>
      </c>
      <c r="M460" s="303">
        <f t="shared" ref="M460:M489" si="90">K460-L460</f>
        <v>0</v>
      </c>
      <c r="N460" s="307">
        <f t="shared" ref="N460:N489" si="91">J460-M460</f>
        <v>2.1282176021486521E-10</v>
      </c>
    </row>
    <row r="461" spans="2:14" x14ac:dyDescent="0.45">
      <c r="B461" s="306">
        <f t="shared" ref="B461:B489" si="92">EDATE(B460,1)</f>
        <v>57984</v>
      </c>
      <c r="C461" s="303">
        <f t="shared" ref="C461:C489" si="93">G460</f>
        <v>-1.2187229003757238E-10</v>
      </c>
      <c r="D461" s="303">
        <f t="shared" si="84"/>
        <v>0</v>
      </c>
      <c r="E461" s="303">
        <f t="shared" si="85"/>
        <v>0</v>
      </c>
      <c r="F461" s="303">
        <f t="shared" si="86"/>
        <v>0</v>
      </c>
      <c r="G461" s="307">
        <f t="shared" si="87"/>
        <v>-1.2187229003757238E-10</v>
      </c>
      <c r="I461" s="306">
        <f t="shared" ref="I461:I489" si="94">EDATE(I460,1)</f>
        <v>58988</v>
      </c>
      <c r="J461" s="303">
        <f t="shared" ref="J461:J489" si="95">N460</f>
        <v>2.1282176021486521E-10</v>
      </c>
      <c r="K461" s="303">
        <f t="shared" si="88"/>
        <v>0</v>
      </c>
      <c r="L461" s="303">
        <f t="shared" si="89"/>
        <v>0</v>
      </c>
      <c r="M461" s="303">
        <f t="shared" si="90"/>
        <v>0</v>
      </c>
      <c r="N461" s="307">
        <f t="shared" si="91"/>
        <v>2.1282176021486521E-10</v>
      </c>
    </row>
    <row r="462" spans="2:14" x14ac:dyDescent="0.45">
      <c r="B462" s="306">
        <f t="shared" si="92"/>
        <v>58015</v>
      </c>
      <c r="C462" s="303">
        <f t="shared" si="93"/>
        <v>-1.2187229003757238E-10</v>
      </c>
      <c r="D462" s="303">
        <f t="shared" si="84"/>
        <v>0</v>
      </c>
      <c r="E462" s="303">
        <f t="shared" si="85"/>
        <v>0</v>
      </c>
      <c r="F462" s="303">
        <f t="shared" si="86"/>
        <v>0</v>
      </c>
      <c r="G462" s="307">
        <f t="shared" si="87"/>
        <v>-1.2187229003757238E-10</v>
      </c>
      <c r="I462" s="306">
        <f t="shared" si="94"/>
        <v>59019</v>
      </c>
      <c r="J462" s="303">
        <f t="shared" si="95"/>
        <v>2.1282176021486521E-10</v>
      </c>
      <c r="K462" s="303">
        <f t="shared" si="88"/>
        <v>0</v>
      </c>
      <c r="L462" s="303">
        <f t="shared" si="89"/>
        <v>0</v>
      </c>
      <c r="M462" s="303">
        <f t="shared" si="90"/>
        <v>0</v>
      </c>
      <c r="N462" s="307">
        <f t="shared" si="91"/>
        <v>2.1282176021486521E-10</v>
      </c>
    </row>
    <row r="463" spans="2:14" x14ac:dyDescent="0.45">
      <c r="B463" s="306">
        <f t="shared" si="92"/>
        <v>58045</v>
      </c>
      <c r="C463" s="303">
        <f t="shared" si="93"/>
        <v>-1.2187229003757238E-10</v>
      </c>
      <c r="D463" s="303">
        <f t="shared" si="84"/>
        <v>0</v>
      </c>
      <c r="E463" s="303">
        <f t="shared" si="85"/>
        <v>0</v>
      </c>
      <c r="F463" s="303">
        <f t="shared" si="86"/>
        <v>0</v>
      </c>
      <c r="G463" s="307">
        <f t="shared" si="87"/>
        <v>-1.2187229003757238E-10</v>
      </c>
      <c r="I463" s="306">
        <f t="shared" si="94"/>
        <v>59050</v>
      </c>
      <c r="J463" s="303">
        <f t="shared" si="95"/>
        <v>2.1282176021486521E-10</v>
      </c>
      <c r="K463" s="303">
        <f t="shared" si="88"/>
        <v>0</v>
      </c>
      <c r="L463" s="303">
        <f t="shared" si="89"/>
        <v>0</v>
      </c>
      <c r="M463" s="303">
        <f t="shared" si="90"/>
        <v>0</v>
      </c>
      <c r="N463" s="307">
        <f t="shared" si="91"/>
        <v>2.1282176021486521E-10</v>
      </c>
    </row>
    <row r="464" spans="2:14" x14ac:dyDescent="0.45">
      <c r="B464" s="306">
        <f t="shared" si="92"/>
        <v>58076</v>
      </c>
      <c r="C464" s="303">
        <f t="shared" si="93"/>
        <v>-1.2187229003757238E-10</v>
      </c>
      <c r="D464" s="303">
        <f t="shared" si="84"/>
        <v>0</v>
      </c>
      <c r="E464" s="303">
        <f t="shared" si="85"/>
        <v>0</v>
      </c>
      <c r="F464" s="303">
        <f t="shared" si="86"/>
        <v>0</v>
      </c>
      <c r="G464" s="307">
        <f t="shared" si="87"/>
        <v>-1.2187229003757238E-10</v>
      </c>
      <c r="I464" s="306">
        <f t="shared" si="94"/>
        <v>59080</v>
      </c>
      <c r="J464" s="303">
        <f t="shared" si="95"/>
        <v>2.1282176021486521E-10</v>
      </c>
      <c r="K464" s="303">
        <f t="shared" si="88"/>
        <v>0</v>
      </c>
      <c r="L464" s="303">
        <f t="shared" si="89"/>
        <v>0</v>
      </c>
      <c r="M464" s="303">
        <f t="shared" si="90"/>
        <v>0</v>
      </c>
      <c r="N464" s="307">
        <f t="shared" si="91"/>
        <v>2.1282176021486521E-10</v>
      </c>
    </row>
    <row r="465" spans="2:14" x14ac:dyDescent="0.45">
      <c r="B465" s="306">
        <f t="shared" si="92"/>
        <v>58107</v>
      </c>
      <c r="C465" s="303">
        <f t="shared" si="93"/>
        <v>-1.2187229003757238E-10</v>
      </c>
      <c r="D465" s="303">
        <f t="shared" si="84"/>
        <v>0</v>
      </c>
      <c r="E465" s="303">
        <f t="shared" si="85"/>
        <v>0</v>
      </c>
      <c r="F465" s="303">
        <f t="shared" si="86"/>
        <v>0</v>
      </c>
      <c r="G465" s="307">
        <f t="shared" si="87"/>
        <v>-1.2187229003757238E-10</v>
      </c>
      <c r="I465" s="306">
        <f t="shared" si="94"/>
        <v>59111</v>
      </c>
      <c r="J465" s="303">
        <f t="shared" si="95"/>
        <v>2.1282176021486521E-10</v>
      </c>
      <c r="K465" s="303">
        <f t="shared" si="88"/>
        <v>0</v>
      </c>
      <c r="L465" s="303">
        <f t="shared" si="89"/>
        <v>0</v>
      </c>
      <c r="M465" s="303">
        <f t="shared" si="90"/>
        <v>0</v>
      </c>
      <c r="N465" s="307">
        <f t="shared" si="91"/>
        <v>2.1282176021486521E-10</v>
      </c>
    </row>
    <row r="466" spans="2:14" x14ac:dyDescent="0.45">
      <c r="B466" s="306">
        <f t="shared" si="92"/>
        <v>58135</v>
      </c>
      <c r="C466" s="303">
        <f t="shared" si="93"/>
        <v>-1.2187229003757238E-10</v>
      </c>
      <c r="D466" s="303">
        <f t="shared" si="84"/>
        <v>0</v>
      </c>
      <c r="E466" s="303">
        <f t="shared" si="85"/>
        <v>0</v>
      </c>
      <c r="F466" s="303">
        <f t="shared" si="86"/>
        <v>0</v>
      </c>
      <c r="G466" s="307">
        <f t="shared" si="87"/>
        <v>-1.2187229003757238E-10</v>
      </c>
      <c r="I466" s="306">
        <f t="shared" si="94"/>
        <v>59141</v>
      </c>
      <c r="J466" s="303">
        <f t="shared" si="95"/>
        <v>2.1282176021486521E-10</v>
      </c>
      <c r="K466" s="303">
        <f t="shared" si="88"/>
        <v>0</v>
      </c>
      <c r="L466" s="303">
        <f t="shared" si="89"/>
        <v>0</v>
      </c>
      <c r="M466" s="303">
        <f t="shared" si="90"/>
        <v>0</v>
      </c>
      <c r="N466" s="307">
        <f t="shared" si="91"/>
        <v>2.1282176021486521E-10</v>
      </c>
    </row>
    <row r="467" spans="2:14" x14ac:dyDescent="0.45">
      <c r="B467" s="306">
        <f t="shared" si="92"/>
        <v>58166</v>
      </c>
      <c r="C467" s="303">
        <f t="shared" si="93"/>
        <v>-1.2187229003757238E-10</v>
      </c>
      <c r="D467" s="303">
        <f t="shared" si="84"/>
        <v>0</v>
      </c>
      <c r="E467" s="303">
        <f t="shared" si="85"/>
        <v>0</v>
      </c>
      <c r="F467" s="303">
        <f t="shared" si="86"/>
        <v>0</v>
      </c>
      <c r="G467" s="307">
        <f t="shared" si="87"/>
        <v>-1.2187229003757238E-10</v>
      </c>
      <c r="I467" s="306">
        <f t="shared" si="94"/>
        <v>59172</v>
      </c>
      <c r="J467" s="303">
        <f t="shared" si="95"/>
        <v>2.1282176021486521E-10</v>
      </c>
      <c r="K467" s="303">
        <f t="shared" si="88"/>
        <v>0</v>
      </c>
      <c r="L467" s="303">
        <f t="shared" si="89"/>
        <v>0</v>
      </c>
      <c r="M467" s="303">
        <f t="shared" si="90"/>
        <v>0</v>
      </c>
      <c r="N467" s="307">
        <f t="shared" si="91"/>
        <v>2.1282176021486521E-10</v>
      </c>
    </row>
    <row r="468" spans="2:14" x14ac:dyDescent="0.45">
      <c r="B468" s="306">
        <f t="shared" si="92"/>
        <v>58196</v>
      </c>
      <c r="C468" s="303">
        <f t="shared" si="93"/>
        <v>-1.2187229003757238E-10</v>
      </c>
      <c r="D468" s="303">
        <f t="shared" si="84"/>
        <v>0</v>
      </c>
      <c r="E468" s="303">
        <f t="shared" si="85"/>
        <v>0</v>
      </c>
      <c r="F468" s="303">
        <f t="shared" si="86"/>
        <v>0</v>
      </c>
      <c r="G468" s="307">
        <f t="shared" si="87"/>
        <v>-1.2187229003757238E-10</v>
      </c>
      <c r="I468" s="306">
        <f t="shared" si="94"/>
        <v>59203</v>
      </c>
      <c r="J468" s="303">
        <f t="shared" si="95"/>
        <v>2.1282176021486521E-10</v>
      </c>
      <c r="K468" s="303">
        <f t="shared" si="88"/>
        <v>0</v>
      </c>
      <c r="L468" s="303">
        <f t="shared" si="89"/>
        <v>0</v>
      </c>
      <c r="M468" s="303">
        <f t="shared" si="90"/>
        <v>0</v>
      </c>
      <c r="N468" s="307">
        <f t="shared" si="91"/>
        <v>2.1282176021486521E-10</v>
      </c>
    </row>
    <row r="469" spans="2:14" x14ac:dyDescent="0.45">
      <c r="B469" s="306">
        <f t="shared" si="92"/>
        <v>58227</v>
      </c>
      <c r="C469" s="303">
        <f t="shared" si="93"/>
        <v>-1.2187229003757238E-10</v>
      </c>
      <c r="D469" s="303">
        <f t="shared" si="84"/>
        <v>0</v>
      </c>
      <c r="E469" s="303">
        <f t="shared" si="85"/>
        <v>0</v>
      </c>
      <c r="F469" s="303">
        <f t="shared" si="86"/>
        <v>0</v>
      </c>
      <c r="G469" s="307">
        <f t="shared" si="87"/>
        <v>-1.2187229003757238E-10</v>
      </c>
      <c r="I469" s="306">
        <f t="shared" si="94"/>
        <v>59231</v>
      </c>
      <c r="J469" s="303">
        <f t="shared" si="95"/>
        <v>2.1282176021486521E-10</v>
      </c>
      <c r="K469" s="303">
        <f t="shared" si="88"/>
        <v>0</v>
      </c>
      <c r="L469" s="303">
        <f t="shared" si="89"/>
        <v>0</v>
      </c>
      <c r="M469" s="303">
        <f t="shared" si="90"/>
        <v>0</v>
      </c>
      <c r="N469" s="307">
        <f t="shared" si="91"/>
        <v>2.1282176021486521E-10</v>
      </c>
    </row>
    <row r="470" spans="2:14" x14ac:dyDescent="0.45">
      <c r="B470" s="306">
        <f t="shared" si="92"/>
        <v>58257</v>
      </c>
      <c r="C470" s="303">
        <f t="shared" si="93"/>
        <v>-1.2187229003757238E-10</v>
      </c>
      <c r="D470" s="303">
        <f t="shared" si="84"/>
        <v>0</v>
      </c>
      <c r="E470" s="303">
        <f t="shared" si="85"/>
        <v>0</v>
      </c>
      <c r="F470" s="303">
        <f t="shared" si="86"/>
        <v>0</v>
      </c>
      <c r="G470" s="307">
        <f t="shared" si="87"/>
        <v>-1.2187229003757238E-10</v>
      </c>
      <c r="I470" s="306">
        <f t="shared" si="94"/>
        <v>59262</v>
      </c>
      <c r="J470" s="303">
        <f t="shared" si="95"/>
        <v>2.1282176021486521E-10</v>
      </c>
      <c r="K470" s="303">
        <f t="shared" si="88"/>
        <v>0</v>
      </c>
      <c r="L470" s="303">
        <f t="shared" si="89"/>
        <v>0</v>
      </c>
      <c r="M470" s="303">
        <f t="shared" si="90"/>
        <v>0</v>
      </c>
      <c r="N470" s="307">
        <f t="shared" si="91"/>
        <v>2.1282176021486521E-10</v>
      </c>
    </row>
    <row r="471" spans="2:14" x14ac:dyDescent="0.45">
      <c r="B471" s="306">
        <f t="shared" si="92"/>
        <v>58288</v>
      </c>
      <c r="C471" s="303">
        <f t="shared" si="93"/>
        <v>-1.2187229003757238E-10</v>
      </c>
      <c r="D471" s="303">
        <f t="shared" si="84"/>
        <v>0</v>
      </c>
      <c r="E471" s="303">
        <f t="shared" si="85"/>
        <v>0</v>
      </c>
      <c r="F471" s="303">
        <f t="shared" si="86"/>
        <v>0</v>
      </c>
      <c r="G471" s="307">
        <f t="shared" si="87"/>
        <v>-1.2187229003757238E-10</v>
      </c>
      <c r="I471" s="306">
        <f t="shared" si="94"/>
        <v>59292</v>
      </c>
      <c r="J471" s="303">
        <f t="shared" si="95"/>
        <v>2.1282176021486521E-10</v>
      </c>
      <c r="K471" s="303">
        <f t="shared" si="88"/>
        <v>0</v>
      </c>
      <c r="L471" s="303">
        <f t="shared" si="89"/>
        <v>0</v>
      </c>
      <c r="M471" s="303">
        <f t="shared" si="90"/>
        <v>0</v>
      </c>
      <c r="N471" s="307">
        <f t="shared" si="91"/>
        <v>2.1282176021486521E-10</v>
      </c>
    </row>
    <row r="472" spans="2:14" x14ac:dyDescent="0.45">
      <c r="B472" s="306">
        <f t="shared" si="92"/>
        <v>58319</v>
      </c>
      <c r="C472" s="303">
        <f t="shared" si="93"/>
        <v>-1.2187229003757238E-10</v>
      </c>
      <c r="D472" s="303">
        <f t="shared" si="84"/>
        <v>0</v>
      </c>
      <c r="E472" s="303">
        <f t="shared" si="85"/>
        <v>0</v>
      </c>
      <c r="F472" s="303">
        <f t="shared" si="86"/>
        <v>0</v>
      </c>
      <c r="G472" s="307">
        <f t="shared" si="87"/>
        <v>-1.2187229003757238E-10</v>
      </c>
      <c r="I472" s="306">
        <f t="shared" si="94"/>
        <v>59323</v>
      </c>
      <c r="J472" s="303">
        <f t="shared" si="95"/>
        <v>2.1282176021486521E-10</v>
      </c>
      <c r="K472" s="303">
        <f t="shared" si="88"/>
        <v>0</v>
      </c>
      <c r="L472" s="303">
        <f t="shared" si="89"/>
        <v>0</v>
      </c>
      <c r="M472" s="303">
        <f t="shared" si="90"/>
        <v>0</v>
      </c>
      <c r="N472" s="307">
        <f t="shared" si="91"/>
        <v>2.1282176021486521E-10</v>
      </c>
    </row>
    <row r="473" spans="2:14" x14ac:dyDescent="0.45">
      <c r="B473" s="306">
        <f t="shared" si="92"/>
        <v>58349</v>
      </c>
      <c r="C473" s="303">
        <f t="shared" si="93"/>
        <v>-1.2187229003757238E-10</v>
      </c>
      <c r="D473" s="303">
        <f t="shared" si="84"/>
        <v>0</v>
      </c>
      <c r="E473" s="303">
        <f t="shared" si="85"/>
        <v>0</v>
      </c>
      <c r="F473" s="303">
        <f t="shared" si="86"/>
        <v>0</v>
      </c>
      <c r="G473" s="307">
        <f t="shared" si="87"/>
        <v>-1.2187229003757238E-10</v>
      </c>
      <c r="I473" s="306">
        <f t="shared" si="94"/>
        <v>59353</v>
      </c>
      <c r="J473" s="303">
        <f t="shared" si="95"/>
        <v>2.1282176021486521E-10</v>
      </c>
      <c r="K473" s="303">
        <f t="shared" si="88"/>
        <v>0</v>
      </c>
      <c r="L473" s="303">
        <f t="shared" si="89"/>
        <v>0</v>
      </c>
      <c r="M473" s="303">
        <f t="shared" si="90"/>
        <v>0</v>
      </c>
      <c r="N473" s="307">
        <f t="shared" si="91"/>
        <v>2.1282176021486521E-10</v>
      </c>
    </row>
    <row r="474" spans="2:14" x14ac:dyDescent="0.45">
      <c r="B474" s="306">
        <f t="shared" si="92"/>
        <v>58380</v>
      </c>
      <c r="C474" s="303">
        <f t="shared" si="93"/>
        <v>-1.2187229003757238E-10</v>
      </c>
      <c r="D474" s="303">
        <f t="shared" si="84"/>
        <v>0</v>
      </c>
      <c r="E474" s="303">
        <f t="shared" si="85"/>
        <v>0</v>
      </c>
      <c r="F474" s="303">
        <f t="shared" si="86"/>
        <v>0</v>
      </c>
      <c r="G474" s="307">
        <f t="shared" si="87"/>
        <v>-1.2187229003757238E-10</v>
      </c>
      <c r="I474" s="306">
        <f t="shared" si="94"/>
        <v>59384</v>
      </c>
      <c r="J474" s="303">
        <f t="shared" si="95"/>
        <v>2.1282176021486521E-10</v>
      </c>
      <c r="K474" s="303">
        <f t="shared" si="88"/>
        <v>0</v>
      </c>
      <c r="L474" s="303">
        <f t="shared" si="89"/>
        <v>0</v>
      </c>
      <c r="M474" s="303">
        <f t="shared" si="90"/>
        <v>0</v>
      </c>
      <c r="N474" s="307">
        <f t="shared" si="91"/>
        <v>2.1282176021486521E-10</v>
      </c>
    </row>
    <row r="475" spans="2:14" x14ac:dyDescent="0.45">
      <c r="B475" s="306">
        <f t="shared" si="92"/>
        <v>58410</v>
      </c>
      <c r="C475" s="303">
        <f t="shared" si="93"/>
        <v>-1.2187229003757238E-10</v>
      </c>
      <c r="D475" s="303">
        <f t="shared" si="84"/>
        <v>0</v>
      </c>
      <c r="E475" s="303">
        <f t="shared" si="85"/>
        <v>0</v>
      </c>
      <c r="F475" s="303">
        <f t="shared" si="86"/>
        <v>0</v>
      </c>
      <c r="G475" s="307">
        <f t="shared" si="87"/>
        <v>-1.2187229003757238E-10</v>
      </c>
      <c r="I475" s="306">
        <f t="shared" si="94"/>
        <v>59415</v>
      </c>
      <c r="J475" s="303">
        <f t="shared" si="95"/>
        <v>2.1282176021486521E-10</v>
      </c>
      <c r="K475" s="303">
        <f t="shared" si="88"/>
        <v>0</v>
      </c>
      <c r="L475" s="303">
        <f t="shared" si="89"/>
        <v>0</v>
      </c>
      <c r="M475" s="303">
        <f t="shared" si="90"/>
        <v>0</v>
      </c>
      <c r="N475" s="307">
        <f t="shared" si="91"/>
        <v>2.1282176021486521E-10</v>
      </c>
    </row>
    <row r="476" spans="2:14" x14ac:dyDescent="0.45">
      <c r="B476" s="306">
        <f t="shared" si="92"/>
        <v>58441</v>
      </c>
      <c r="C476" s="303">
        <f t="shared" si="93"/>
        <v>-1.2187229003757238E-10</v>
      </c>
      <c r="D476" s="303">
        <f t="shared" si="84"/>
        <v>0</v>
      </c>
      <c r="E476" s="303">
        <f t="shared" si="85"/>
        <v>0</v>
      </c>
      <c r="F476" s="303">
        <f t="shared" si="86"/>
        <v>0</v>
      </c>
      <c r="G476" s="307">
        <f t="shared" si="87"/>
        <v>-1.2187229003757238E-10</v>
      </c>
      <c r="I476" s="306">
        <f t="shared" si="94"/>
        <v>59445</v>
      </c>
      <c r="J476" s="303">
        <f t="shared" si="95"/>
        <v>2.1282176021486521E-10</v>
      </c>
      <c r="K476" s="303">
        <f t="shared" si="88"/>
        <v>0</v>
      </c>
      <c r="L476" s="303">
        <f t="shared" si="89"/>
        <v>0</v>
      </c>
      <c r="M476" s="303">
        <f t="shared" si="90"/>
        <v>0</v>
      </c>
      <c r="N476" s="307">
        <f t="shared" si="91"/>
        <v>2.1282176021486521E-10</v>
      </c>
    </row>
    <row r="477" spans="2:14" x14ac:dyDescent="0.45">
      <c r="B477" s="306">
        <f t="shared" si="92"/>
        <v>58472</v>
      </c>
      <c r="C477" s="303">
        <f t="shared" si="93"/>
        <v>-1.2187229003757238E-10</v>
      </c>
      <c r="D477" s="303">
        <f t="shared" si="84"/>
        <v>0</v>
      </c>
      <c r="E477" s="303">
        <f t="shared" si="85"/>
        <v>0</v>
      </c>
      <c r="F477" s="303">
        <f t="shared" si="86"/>
        <v>0</v>
      </c>
      <c r="G477" s="307">
        <f t="shared" si="87"/>
        <v>-1.2187229003757238E-10</v>
      </c>
      <c r="I477" s="306">
        <f t="shared" si="94"/>
        <v>59476</v>
      </c>
      <c r="J477" s="303">
        <f t="shared" si="95"/>
        <v>2.1282176021486521E-10</v>
      </c>
      <c r="K477" s="303">
        <f t="shared" si="88"/>
        <v>0</v>
      </c>
      <c r="L477" s="303">
        <f t="shared" si="89"/>
        <v>0</v>
      </c>
      <c r="M477" s="303">
        <f t="shared" si="90"/>
        <v>0</v>
      </c>
      <c r="N477" s="307">
        <f t="shared" si="91"/>
        <v>2.1282176021486521E-10</v>
      </c>
    </row>
    <row r="478" spans="2:14" x14ac:dyDescent="0.45">
      <c r="B478" s="306">
        <f t="shared" si="92"/>
        <v>58501</v>
      </c>
      <c r="C478" s="303">
        <f t="shared" si="93"/>
        <v>-1.2187229003757238E-10</v>
      </c>
      <c r="D478" s="303">
        <f t="shared" si="84"/>
        <v>0</v>
      </c>
      <c r="E478" s="303">
        <f t="shared" si="85"/>
        <v>0</v>
      </c>
      <c r="F478" s="303">
        <f t="shared" si="86"/>
        <v>0</v>
      </c>
      <c r="G478" s="307">
        <f t="shared" si="87"/>
        <v>-1.2187229003757238E-10</v>
      </c>
      <c r="I478" s="306">
        <f t="shared" si="94"/>
        <v>59506</v>
      </c>
      <c r="J478" s="303">
        <f t="shared" si="95"/>
        <v>2.1282176021486521E-10</v>
      </c>
      <c r="K478" s="303">
        <f t="shared" si="88"/>
        <v>0</v>
      </c>
      <c r="L478" s="303">
        <f t="shared" si="89"/>
        <v>0</v>
      </c>
      <c r="M478" s="303">
        <f t="shared" si="90"/>
        <v>0</v>
      </c>
      <c r="N478" s="307">
        <f t="shared" si="91"/>
        <v>2.1282176021486521E-10</v>
      </c>
    </row>
    <row r="479" spans="2:14" x14ac:dyDescent="0.45">
      <c r="B479" s="306">
        <f t="shared" si="92"/>
        <v>58532</v>
      </c>
      <c r="C479" s="303">
        <f t="shared" si="93"/>
        <v>-1.2187229003757238E-10</v>
      </c>
      <c r="D479" s="303">
        <f t="shared" si="84"/>
        <v>0</v>
      </c>
      <c r="E479" s="303">
        <f t="shared" si="85"/>
        <v>0</v>
      </c>
      <c r="F479" s="303">
        <f t="shared" si="86"/>
        <v>0</v>
      </c>
      <c r="G479" s="307">
        <f t="shared" si="87"/>
        <v>-1.2187229003757238E-10</v>
      </c>
      <c r="I479" s="306">
        <f t="shared" si="94"/>
        <v>59537</v>
      </c>
      <c r="J479" s="303">
        <f t="shared" si="95"/>
        <v>2.1282176021486521E-10</v>
      </c>
      <c r="K479" s="303">
        <f t="shared" si="88"/>
        <v>0</v>
      </c>
      <c r="L479" s="303">
        <f t="shared" si="89"/>
        <v>0</v>
      </c>
      <c r="M479" s="303">
        <f t="shared" si="90"/>
        <v>0</v>
      </c>
      <c r="N479" s="307">
        <f t="shared" si="91"/>
        <v>2.1282176021486521E-10</v>
      </c>
    </row>
    <row r="480" spans="2:14" x14ac:dyDescent="0.45">
      <c r="B480" s="306">
        <f t="shared" si="92"/>
        <v>58562</v>
      </c>
      <c r="C480" s="303">
        <f t="shared" si="93"/>
        <v>-1.2187229003757238E-10</v>
      </c>
      <c r="D480" s="303">
        <f t="shared" si="84"/>
        <v>0</v>
      </c>
      <c r="E480" s="303">
        <f t="shared" si="85"/>
        <v>0</v>
      </c>
      <c r="F480" s="303">
        <f t="shared" si="86"/>
        <v>0</v>
      </c>
      <c r="G480" s="307">
        <f t="shared" si="87"/>
        <v>-1.2187229003757238E-10</v>
      </c>
      <c r="I480" s="306">
        <f t="shared" si="94"/>
        <v>59568</v>
      </c>
      <c r="J480" s="303">
        <f t="shared" si="95"/>
        <v>2.1282176021486521E-10</v>
      </c>
      <c r="K480" s="303">
        <f t="shared" si="88"/>
        <v>0</v>
      </c>
      <c r="L480" s="303">
        <f t="shared" si="89"/>
        <v>0</v>
      </c>
      <c r="M480" s="303">
        <f t="shared" si="90"/>
        <v>0</v>
      </c>
      <c r="N480" s="307">
        <f t="shared" si="91"/>
        <v>2.1282176021486521E-10</v>
      </c>
    </row>
    <row r="481" spans="2:14" x14ac:dyDescent="0.45">
      <c r="B481" s="306">
        <f t="shared" si="92"/>
        <v>58593</v>
      </c>
      <c r="C481" s="303">
        <f t="shared" si="93"/>
        <v>-1.2187229003757238E-10</v>
      </c>
      <c r="D481" s="303">
        <f t="shared" si="84"/>
        <v>0</v>
      </c>
      <c r="E481" s="303">
        <f t="shared" si="85"/>
        <v>0</v>
      </c>
      <c r="F481" s="303">
        <f t="shared" si="86"/>
        <v>0</v>
      </c>
      <c r="G481" s="307">
        <f t="shared" si="87"/>
        <v>-1.2187229003757238E-10</v>
      </c>
      <c r="I481" s="306">
        <f t="shared" si="94"/>
        <v>59596</v>
      </c>
      <c r="J481" s="303">
        <f t="shared" si="95"/>
        <v>2.1282176021486521E-10</v>
      </c>
      <c r="K481" s="303">
        <f t="shared" si="88"/>
        <v>0</v>
      </c>
      <c r="L481" s="303">
        <f t="shared" si="89"/>
        <v>0</v>
      </c>
      <c r="M481" s="303">
        <f t="shared" si="90"/>
        <v>0</v>
      </c>
      <c r="N481" s="307">
        <f t="shared" si="91"/>
        <v>2.1282176021486521E-10</v>
      </c>
    </row>
    <row r="482" spans="2:14" x14ac:dyDescent="0.45">
      <c r="B482" s="306">
        <f t="shared" si="92"/>
        <v>58623</v>
      </c>
      <c r="C482" s="303">
        <f t="shared" si="93"/>
        <v>-1.2187229003757238E-10</v>
      </c>
      <c r="D482" s="303">
        <f t="shared" si="84"/>
        <v>0</v>
      </c>
      <c r="E482" s="303">
        <f t="shared" si="85"/>
        <v>0</v>
      </c>
      <c r="F482" s="303">
        <f t="shared" si="86"/>
        <v>0</v>
      </c>
      <c r="G482" s="307">
        <f t="shared" si="87"/>
        <v>-1.2187229003757238E-10</v>
      </c>
      <c r="I482" s="306">
        <f t="shared" si="94"/>
        <v>59627</v>
      </c>
      <c r="J482" s="303">
        <f t="shared" si="95"/>
        <v>2.1282176021486521E-10</v>
      </c>
      <c r="K482" s="303">
        <f t="shared" si="88"/>
        <v>0</v>
      </c>
      <c r="L482" s="303">
        <f t="shared" si="89"/>
        <v>0</v>
      </c>
      <c r="M482" s="303">
        <f t="shared" si="90"/>
        <v>0</v>
      </c>
      <c r="N482" s="307">
        <f t="shared" si="91"/>
        <v>2.1282176021486521E-10</v>
      </c>
    </row>
    <row r="483" spans="2:14" x14ac:dyDescent="0.45">
      <c r="B483" s="306">
        <f t="shared" si="92"/>
        <v>58654</v>
      </c>
      <c r="C483" s="303">
        <f t="shared" si="93"/>
        <v>-1.2187229003757238E-10</v>
      </c>
      <c r="D483" s="303">
        <f t="shared" si="84"/>
        <v>0</v>
      </c>
      <c r="E483" s="303">
        <f t="shared" si="85"/>
        <v>0</v>
      </c>
      <c r="F483" s="303">
        <f t="shared" si="86"/>
        <v>0</v>
      </c>
      <c r="G483" s="307">
        <f t="shared" si="87"/>
        <v>-1.2187229003757238E-10</v>
      </c>
      <c r="I483" s="306">
        <f t="shared" si="94"/>
        <v>59657</v>
      </c>
      <c r="J483" s="303">
        <f t="shared" si="95"/>
        <v>2.1282176021486521E-10</v>
      </c>
      <c r="K483" s="303">
        <f t="shared" si="88"/>
        <v>0</v>
      </c>
      <c r="L483" s="303">
        <f t="shared" si="89"/>
        <v>0</v>
      </c>
      <c r="M483" s="303">
        <f t="shared" si="90"/>
        <v>0</v>
      </c>
      <c r="N483" s="307">
        <f t="shared" si="91"/>
        <v>2.1282176021486521E-10</v>
      </c>
    </row>
    <row r="484" spans="2:14" x14ac:dyDescent="0.45">
      <c r="B484" s="306">
        <f t="shared" si="92"/>
        <v>58685</v>
      </c>
      <c r="C484" s="303">
        <f t="shared" si="93"/>
        <v>-1.2187229003757238E-10</v>
      </c>
      <c r="D484" s="303">
        <f t="shared" si="84"/>
        <v>0</v>
      </c>
      <c r="E484" s="303">
        <f t="shared" si="85"/>
        <v>0</v>
      </c>
      <c r="F484" s="303">
        <f t="shared" si="86"/>
        <v>0</v>
      </c>
      <c r="G484" s="307">
        <f t="shared" si="87"/>
        <v>-1.2187229003757238E-10</v>
      </c>
      <c r="I484" s="306">
        <f t="shared" si="94"/>
        <v>59688</v>
      </c>
      <c r="J484" s="303">
        <f t="shared" si="95"/>
        <v>2.1282176021486521E-10</v>
      </c>
      <c r="K484" s="303">
        <f t="shared" si="88"/>
        <v>0</v>
      </c>
      <c r="L484" s="303">
        <f t="shared" si="89"/>
        <v>0</v>
      </c>
      <c r="M484" s="303">
        <f t="shared" si="90"/>
        <v>0</v>
      </c>
      <c r="N484" s="307">
        <f t="shared" si="91"/>
        <v>2.1282176021486521E-10</v>
      </c>
    </row>
    <row r="485" spans="2:14" x14ac:dyDescent="0.45">
      <c r="B485" s="306">
        <f t="shared" si="92"/>
        <v>58715</v>
      </c>
      <c r="C485" s="303">
        <f t="shared" si="93"/>
        <v>-1.2187229003757238E-10</v>
      </c>
      <c r="D485" s="303">
        <f t="shared" si="84"/>
        <v>0</v>
      </c>
      <c r="E485" s="303">
        <f t="shared" si="85"/>
        <v>0</v>
      </c>
      <c r="F485" s="303">
        <f t="shared" si="86"/>
        <v>0</v>
      </c>
      <c r="G485" s="307">
        <f t="shared" si="87"/>
        <v>-1.2187229003757238E-10</v>
      </c>
      <c r="I485" s="306">
        <f t="shared" si="94"/>
        <v>59718</v>
      </c>
      <c r="J485" s="303">
        <f t="shared" si="95"/>
        <v>2.1282176021486521E-10</v>
      </c>
      <c r="K485" s="303">
        <f t="shared" si="88"/>
        <v>0</v>
      </c>
      <c r="L485" s="303">
        <f t="shared" si="89"/>
        <v>0</v>
      </c>
      <c r="M485" s="303">
        <f t="shared" si="90"/>
        <v>0</v>
      </c>
      <c r="N485" s="307">
        <f t="shared" si="91"/>
        <v>2.1282176021486521E-10</v>
      </c>
    </row>
    <row r="486" spans="2:14" x14ac:dyDescent="0.45">
      <c r="B486" s="306">
        <f t="shared" si="92"/>
        <v>58746</v>
      </c>
      <c r="C486" s="303">
        <f t="shared" si="93"/>
        <v>-1.2187229003757238E-10</v>
      </c>
      <c r="D486" s="303">
        <f t="shared" si="84"/>
        <v>0</v>
      </c>
      <c r="E486" s="303">
        <f t="shared" si="85"/>
        <v>0</v>
      </c>
      <c r="F486" s="303">
        <f t="shared" si="86"/>
        <v>0</v>
      </c>
      <c r="G486" s="307">
        <f t="shared" si="87"/>
        <v>-1.2187229003757238E-10</v>
      </c>
      <c r="I486" s="306">
        <f t="shared" si="94"/>
        <v>59749</v>
      </c>
      <c r="J486" s="303">
        <f t="shared" si="95"/>
        <v>2.1282176021486521E-10</v>
      </c>
      <c r="K486" s="303">
        <f t="shared" si="88"/>
        <v>0</v>
      </c>
      <c r="L486" s="303">
        <f t="shared" si="89"/>
        <v>0</v>
      </c>
      <c r="M486" s="303">
        <f t="shared" si="90"/>
        <v>0</v>
      </c>
      <c r="N486" s="307">
        <f t="shared" si="91"/>
        <v>2.1282176021486521E-10</v>
      </c>
    </row>
    <row r="487" spans="2:14" x14ac:dyDescent="0.45">
      <c r="B487" s="306">
        <f t="shared" si="92"/>
        <v>58776</v>
      </c>
      <c r="C487" s="303">
        <f t="shared" si="93"/>
        <v>-1.2187229003757238E-10</v>
      </c>
      <c r="D487" s="303">
        <f t="shared" si="84"/>
        <v>0</v>
      </c>
      <c r="E487" s="303">
        <f t="shared" si="85"/>
        <v>0</v>
      </c>
      <c r="F487" s="303">
        <f t="shared" si="86"/>
        <v>0</v>
      </c>
      <c r="G487" s="307">
        <f t="shared" si="87"/>
        <v>-1.2187229003757238E-10</v>
      </c>
      <c r="I487" s="306">
        <f t="shared" si="94"/>
        <v>59780</v>
      </c>
      <c r="J487" s="303">
        <f t="shared" si="95"/>
        <v>2.1282176021486521E-10</v>
      </c>
      <c r="K487" s="303">
        <f t="shared" si="88"/>
        <v>0</v>
      </c>
      <c r="L487" s="303">
        <f t="shared" si="89"/>
        <v>0</v>
      </c>
      <c r="M487" s="303">
        <f t="shared" si="90"/>
        <v>0</v>
      </c>
      <c r="N487" s="307">
        <f t="shared" si="91"/>
        <v>2.1282176021486521E-10</v>
      </c>
    </row>
    <row r="488" spans="2:14" x14ac:dyDescent="0.45">
      <c r="B488" s="306">
        <f t="shared" si="92"/>
        <v>58807</v>
      </c>
      <c r="C488" s="303">
        <f t="shared" si="93"/>
        <v>-1.2187229003757238E-10</v>
      </c>
      <c r="D488" s="303">
        <f t="shared" si="84"/>
        <v>0</v>
      </c>
      <c r="E488" s="303">
        <f t="shared" si="85"/>
        <v>0</v>
      </c>
      <c r="F488" s="303">
        <f t="shared" si="86"/>
        <v>0</v>
      </c>
      <c r="G488" s="307">
        <f t="shared" si="87"/>
        <v>-1.2187229003757238E-10</v>
      </c>
      <c r="I488" s="306">
        <f t="shared" si="94"/>
        <v>59810</v>
      </c>
      <c r="J488" s="303">
        <f t="shared" si="95"/>
        <v>2.1282176021486521E-10</v>
      </c>
      <c r="K488" s="303">
        <f t="shared" si="88"/>
        <v>0</v>
      </c>
      <c r="L488" s="303">
        <f t="shared" si="89"/>
        <v>0</v>
      </c>
      <c r="M488" s="303">
        <f t="shared" si="90"/>
        <v>0</v>
      </c>
      <c r="N488" s="307">
        <f t="shared" si="91"/>
        <v>2.1282176021486521E-10</v>
      </c>
    </row>
    <row r="489" spans="2:14" ht="14.65" thickBot="1" x14ac:dyDescent="0.5">
      <c r="B489" s="308">
        <f t="shared" si="92"/>
        <v>58838</v>
      </c>
      <c r="C489" s="309">
        <f t="shared" si="93"/>
        <v>-1.2187229003757238E-10</v>
      </c>
      <c r="D489" s="303">
        <f t="shared" si="84"/>
        <v>0</v>
      </c>
      <c r="E489" s="303">
        <f t="shared" si="85"/>
        <v>0</v>
      </c>
      <c r="F489" s="309">
        <f t="shared" si="86"/>
        <v>0</v>
      </c>
      <c r="G489" s="310">
        <f t="shared" si="87"/>
        <v>-1.2187229003757238E-10</v>
      </c>
      <c r="I489" s="308">
        <f t="shared" si="94"/>
        <v>59841</v>
      </c>
      <c r="J489" s="309">
        <f t="shared" si="95"/>
        <v>2.1282176021486521E-10</v>
      </c>
      <c r="K489" s="303">
        <f t="shared" si="88"/>
        <v>0</v>
      </c>
      <c r="L489" s="303">
        <f t="shared" si="89"/>
        <v>0</v>
      </c>
      <c r="M489" s="309">
        <f t="shared" si="90"/>
        <v>0</v>
      </c>
      <c r="N489" s="310">
        <f t="shared" si="91"/>
        <v>2.1282176021486521E-10</v>
      </c>
    </row>
  </sheetData>
  <mergeCells count="2">
    <mergeCell ref="B3:G3"/>
    <mergeCell ref="I3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A0247-F733-493C-8140-5337072F404B}">
  <dimension ref="C4:N29"/>
  <sheetViews>
    <sheetView showGridLines="0" topLeftCell="B1" workbookViewId="0">
      <selection activeCell="N23" sqref="N23"/>
    </sheetView>
  </sheetViews>
  <sheetFormatPr baseColWidth="10" defaultRowHeight="14.25" x14ac:dyDescent="0.45"/>
  <cols>
    <col min="3" max="3" width="53.796875" bestFit="1" customWidth="1"/>
    <col min="4" max="4" width="11.33203125" bestFit="1" customWidth="1"/>
    <col min="5" max="8" width="12.33203125" bestFit="1" customWidth="1"/>
    <col min="12" max="13" width="11.33203125" bestFit="1" customWidth="1"/>
  </cols>
  <sheetData>
    <row r="4" spans="3:13" x14ac:dyDescent="0.45">
      <c r="C4" s="87"/>
      <c r="D4" s="87">
        <v>2021</v>
      </c>
      <c r="E4" s="87">
        <v>2022</v>
      </c>
      <c r="F4" s="87">
        <v>2023</v>
      </c>
      <c r="G4" s="87">
        <v>2024</v>
      </c>
      <c r="H4" s="87">
        <v>2025</v>
      </c>
      <c r="I4" s="87">
        <v>2026</v>
      </c>
      <c r="J4" s="87">
        <v>2027</v>
      </c>
      <c r="K4" s="87">
        <v>2028</v>
      </c>
      <c r="L4" s="87">
        <v>2029</v>
      </c>
      <c r="M4" s="87">
        <v>2030</v>
      </c>
    </row>
    <row r="5" spans="3:13" x14ac:dyDescent="0.45">
      <c r="C5" s="73" t="s">
        <v>59</v>
      </c>
      <c r="D5" s="82">
        <v>2500</v>
      </c>
      <c r="E5" s="82">
        <v>3500</v>
      </c>
      <c r="F5" s="82">
        <v>5000</v>
      </c>
      <c r="G5" s="82">
        <v>5000</v>
      </c>
      <c r="H5" s="82">
        <v>5000</v>
      </c>
      <c r="I5" s="82">
        <v>5000</v>
      </c>
      <c r="J5" s="82">
        <v>5000</v>
      </c>
      <c r="K5" s="82">
        <v>5000</v>
      </c>
      <c r="L5" s="82">
        <v>5000</v>
      </c>
      <c r="M5" s="82">
        <v>5000</v>
      </c>
    </row>
    <row r="6" spans="3:13" x14ac:dyDescent="0.45">
      <c r="C6" s="73" t="s">
        <v>60</v>
      </c>
      <c r="D6" s="82">
        <v>1</v>
      </c>
      <c r="E6" s="82">
        <v>1</v>
      </c>
      <c r="F6" s="82">
        <v>1</v>
      </c>
      <c r="G6" s="82">
        <v>1</v>
      </c>
      <c r="H6" s="82">
        <v>1</v>
      </c>
      <c r="I6" s="82">
        <v>1</v>
      </c>
      <c r="J6" s="82">
        <v>1</v>
      </c>
      <c r="K6" s="82">
        <v>1</v>
      </c>
      <c r="L6" s="82">
        <v>1</v>
      </c>
      <c r="M6" s="82">
        <v>1</v>
      </c>
    </row>
    <row r="7" spans="3:13" x14ac:dyDescent="0.45">
      <c r="C7" s="73" t="s">
        <v>61</v>
      </c>
      <c r="D7" s="90">
        <v>0.1</v>
      </c>
      <c r="E7" s="90">
        <v>0.1</v>
      </c>
      <c r="F7" s="90">
        <v>0.1</v>
      </c>
      <c r="G7" s="90">
        <v>0.1</v>
      </c>
      <c r="H7" s="90">
        <v>0.1</v>
      </c>
      <c r="I7" s="90">
        <v>0.1</v>
      </c>
      <c r="J7" s="90">
        <v>0.1</v>
      </c>
      <c r="K7" s="90">
        <v>0.1</v>
      </c>
      <c r="L7" s="90">
        <v>0.1</v>
      </c>
      <c r="M7" s="90">
        <v>0.1</v>
      </c>
    </row>
    <row r="8" spans="3:13" x14ac:dyDescent="0.45">
      <c r="C8" s="73" t="s">
        <v>78</v>
      </c>
      <c r="D8" s="91"/>
      <c r="E8" s="91">
        <v>0.1</v>
      </c>
      <c r="F8" s="91">
        <v>0.1</v>
      </c>
      <c r="G8" s="91">
        <v>0.09</v>
      </c>
      <c r="H8" s="91">
        <v>0.08</v>
      </c>
      <c r="I8" s="91">
        <v>7.0000000000000007E-2</v>
      </c>
      <c r="J8" s="91">
        <v>0.06</v>
      </c>
      <c r="K8" s="91">
        <v>0.05</v>
      </c>
      <c r="L8" s="91">
        <v>0.05</v>
      </c>
      <c r="M8" s="91">
        <v>0.05</v>
      </c>
    </row>
    <row r="9" spans="3:13" x14ac:dyDescent="0.45">
      <c r="C9" s="73" t="s">
        <v>80</v>
      </c>
      <c r="D9" s="91">
        <v>0.05</v>
      </c>
      <c r="E9" s="91">
        <v>0.05</v>
      </c>
      <c r="F9" s="91">
        <v>0.05</v>
      </c>
      <c r="G9" s="91">
        <v>0.05</v>
      </c>
      <c r="H9" s="91">
        <v>0.04</v>
      </c>
      <c r="I9" s="91">
        <v>0.04</v>
      </c>
      <c r="J9" s="91">
        <v>0.03</v>
      </c>
      <c r="K9" s="91">
        <v>0.03</v>
      </c>
      <c r="L9" s="91">
        <v>0.03</v>
      </c>
      <c r="M9" s="91">
        <v>0.03</v>
      </c>
    </row>
    <row r="10" spans="3:13" x14ac:dyDescent="0.45">
      <c r="C10" s="73" t="s">
        <v>81</v>
      </c>
      <c r="D10" s="80">
        <v>10</v>
      </c>
      <c r="E10" s="80">
        <v>10</v>
      </c>
      <c r="F10" s="80">
        <v>10</v>
      </c>
      <c r="G10" s="80">
        <v>10</v>
      </c>
      <c r="H10" s="80">
        <v>10</v>
      </c>
      <c r="I10" s="80">
        <v>11</v>
      </c>
      <c r="J10" s="80">
        <v>12</v>
      </c>
      <c r="K10" s="80">
        <v>13</v>
      </c>
      <c r="L10" s="80">
        <v>14</v>
      </c>
      <c r="M10" s="80">
        <v>15</v>
      </c>
    </row>
    <row r="11" spans="3:13" x14ac:dyDescent="0.45">
      <c r="C11" s="73"/>
      <c r="D11" s="91"/>
      <c r="E11" s="91"/>
      <c r="F11" s="91"/>
      <c r="G11" s="91"/>
      <c r="H11" s="91"/>
      <c r="I11" s="91"/>
      <c r="J11" s="91"/>
      <c r="K11" s="91"/>
      <c r="L11" s="91"/>
      <c r="M11" s="91"/>
    </row>
    <row r="12" spans="3:13" x14ac:dyDescent="0.45">
      <c r="C12" s="73" t="s">
        <v>83</v>
      </c>
      <c r="D12" s="92">
        <v>0.02</v>
      </c>
      <c r="E12" s="92">
        <v>0.01</v>
      </c>
      <c r="F12" s="92">
        <v>7.0000000000000001E-3</v>
      </c>
      <c r="G12" s="92">
        <v>5.0000000000000001E-3</v>
      </c>
      <c r="H12" s="92">
        <v>5.0000000000000001E-3</v>
      </c>
      <c r="I12" s="92">
        <v>5.0000000000000001E-3</v>
      </c>
      <c r="J12" s="92">
        <v>5.0000000000000001E-3</v>
      </c>
      <c r="K12" s="92">
        <v>5.0000000000000001E-3</v>
      </c>
      <c r="L12" s="92">
        <v>5.0000000000000001E-3</v>
      </c>
      <c r="M12" s="92">
        <v>5.0000000000000001E-3</v>
      </c>
    </row>
    <row r="13" spans="3:13" x14ac:dyDescent="0.45">
      <c r="C13" s="73" t="s">
        <v>85</v>
      </c>
      <c r="D13" s="80">
        <v>30</v>
      </c>
      <c r="E13" s="80">
        <v>30</v>
      </c>
      <c r="F13" s="80">
        <v>30</v>
      </c>
      <c r="G13" s="80">
        <v>30</v>
      </c>
      <c r="H13" s="80">
        <v>30</v>
      </c>
      <c r="I13" s="80">
        <v>30</v>
      </c>
      <c r="J13" s="80">
        <v>30</v>
      </c>
      <c r="K13" s="80">
        <v>30</v>
      </c>
      <c r="L13" s="80">
        <v>30</v>
      </c>
      <c r="M13" s="80">
        <v>30</v>
      </c>
    </row>
    <row r="14" spans="3:13" x14ac:dyDescent="0.45">
      <c r="C14" s="73" t="s">
        <v>87</v>
      </c>
      <c r="D14" s="80">
        <v>30</v>
      </c>
      <c r="E14" s="80">
        <v>25</v>
      </c>
      <c r="F14" s="80">
        <v>22</v>
      </c>
      <c r="G14" s="80">
        <v>22</v>
      </c>
      <c r="H14" s="80">
        <v>22</v>
      </c>
      <c r="I14" s="80">
        <v>22</v>
      </c>
      <c r="J14" s="80">
        <v>22</v>
      </c>
      <c r="K14" s="80">
        <v>22</v>
      </c>
      <c r="L14" s="80">
        <v>22</v>
      </c>
      <c r="M14" s="80">
        <v>22</v>
      </c>
    </row>
    <row r="15" spans="3:13" x14ac:dyDescent="0.45">
      <c r="C15" s="73" t="s">
        <v>88</v>
      </c>
      <c r="D15" s="80">
        <v>15</v>
      </c>
      <c r="E15" s="80">
        <v>15</v>
      </c>
      <c r="F15" s="80">
        <v>15</v>
      </c>
      <c r="G15" s="80">
        <v>15</v>
      </c>
      <c r="H15" s="80">
        <v>15</v>
      </c>
      <c r="I15" s="80">
        <v>15</v>
      </c>
      <c r="J15" s="80">
        <v>15</v>
      </c>
      <c r="K15" s="80">
        <v>15</v>
      </c>
      <c r="L15" s="80">
        <v>15</v>
      </c>
      <c r="M15" s="80">
        <v>15</v>
      </c>
    </row>
    <row r="16" spans="3:13" x14ac:dyDescent="0.45">
      <c r="C16" s="73" t="s">
        <v>89</v>
      </c>
      <c r="D16" s="91">
        <v>0.1</v>
      </c>
      <c r="E16" s="91">
        <v>0.1</v>
      </c>
      <c r="F16" s="91">
        <v>0.1</v>
      </c>
      <c r="G16" s="91">
        <v>0.1</v>
      </c>
      <c r="H16" s="91">
        <v>0.1</v>
      </c>
      <c r="I16" s="91">
        <v>0.1</v>
      </c>
      <c r="J16" s="91">
        <v>0.1</v>
      </c>
      <c r="K16" s="91">
        <v>0.1</v>
      </c>
      <c r="L16" s="91">
        <v>0.1</v>
      </c>
      <c r="M16" s="91">
        <v>0.1</v>
      </c>
    </row>
    <row r="17" spans="3:14" x14ac:dyDescent="0.45">
      <c r="C17" s="73" t="s">
        <v>90</v>
      </c>
      <c r="D17" s="93">
        <v>5.0000000000000001E-3</v>
      </c>
      <c r="E17" s="93">
        <v>4.0000000000000001E-3</v>
      </c>
      <c r="F17" s="93">
        <v>3.0000000000000001E-3</v>
      </c>
      <c r="G17" s="93">
        <v>2E-3</v>
      </c>
      <c r="H17" s="93">
        <v>2E-3</v>
      </c>
      <c r="I17" s="93">
        <v>2E-3</v>
      </c>
      <c r="J17" s="93">
        <v>2E-3</v>
      </c>
      <c r="K17" s="93">
        <v>2E-3</v>
      </c>
      <c r="L17" s="93">
        <v>2E-3</v>
      </c>
      <c r="M17" s="93">
        <v>2E-3</v>
      </c>
    </row>
    <row r="18" spans="3:14" x14ac:dyDescent="0.45">
      <c r="C18" s="73"/>
      <c r="D18" s="93"/>
      <c r="E18" s="93"/>
      <c r="F18" s="93"/>
    </row>
    <row r="21" spans="3:14" x14ac:dyDescent="0.45">
      <c r="C21" s="335" t="s">
        <v>97</v>
      </c>
      <c r="D21" s="335"/>
      <c r="E21" s="335"/>
      <c r="F21" s="335"/>
      <c r="G21" s="335"/>
      <c r="H21" s="335"/>
    </row>
    <row r="22" spans="3:14" ht="15.75" x14ac:dyDescent="0.5">
      <c r="C22" s="88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1"/>
    </row>
    <row r="23" spans="3:14" ht="15.75" x14ac:dyDescent="0.5">
      <c r="C23" s="88" t="s">
        <v>91</v>
      </c>
      <c r="D23" s="89"/>
      <c r="E23" s="89"/>
      <c r="F23" s="89">
        <v>15000</v>
      </c>
      <c r="G23" s="89">
        <v>30000</v>
      </c>
      <c r="H23" s="89">
        <v>170000</v>
      </c>
      <c r="I23" s="89">
        <f t="shared" ref="I23:J28" si="0">H23*1.5</f>
        <v>255000</v>
      </c>
      <c r="J23" s="89">
        <f t="shared" si="0"/>
        <v>382500</v>
      </c>
      <c r="K23" s="89">
        <f>J23*1.2</f>
        <v>459000</v>
      </c>
      <c r="L23" s="89">
        <f t="shared" ref="L23:M23" si="1">K23*1.2</f>
        <v>550800</v>
      </c>
      <c r="M23" s="89">
        <f t="shared" si="1"/>
        <v>660960</v>
      </c>
    </row>
    <row r="24" spans="3:14" ht="15.75" x14ac:dyDescent="0.5">
      <c r="C24" s="88" t="s">
        <v>92</v>
      </c>
      <c r="D24" s="89"/>
      <c r="E24" s="89"/>
      <c r="F24" s="89">
        <v>15000</v>
      </c>
      <c r="G24" s="89">
        <v>30000</v>
      </c>
      <c r="H24" s="89">
        <v>170000</v>
      </c>
      <c r="I24" s="89">
        <f t="shared" si="0"/>
        <v>255000</v>
      </c>
      <c r="J24" s="89">
        <f t="shared" si="0"/>
        <v>382500</v>
      </c>
      <c r="K24" s="89">
        <f t="shared" ref="K24:M28" si="2">J24*1.2</f>
        <v>459000</v>
      </c>
      <c r="L24" s="89">
        <f t="shared" si="2"/>
        <v>550800</v>
      </c>
      <c r="M24" s="89">
        <f t="shared" si="2"/>
        <v>660960</v>
      </c>
    </row>
    <row r="25" spans="3:14" ht="15.75" x14ac:dyDescent="0.5">
      <c r="C25" s="88" t="s">
        <v>93</v>
      </c>
      <c r="D25" s="89"/>
      <c r="E25" s="89"/>
      <c r="F25" s="89">
        <v>15000</v>
      </c>
      <c r="G25" s="89">
        <v>30000</v>
      </c>
      <c r="H25" s="89">
        <v>170000</v>
      </c>
      <c r="I25" s="89">
        <f t="shared" si="0"/>
        <v>255000</v>
      </c>
      <c r="J25" s="89">
        <f t="shared" si="0"/>
        <v>382500</v>
      </c>
      <c r="K25" s="89">
        <f t="shared" si="2"/>
        <v>459000</v>
      </c>
      <c r="L25" s="89">
        <f t="shared" si="2"/>
        <v>550800</v>
      </c>
      <c r="M25" s="89">
        <f t="shared" si="2"/>
        <v>660960</v>
      </c>
    </row>
    <row r="26" spans="3:14" ht="15.75" x14ac:dyDescent="0.5">
      <c r="C26" s="88" t="s">
        <v>94</v>
      </c>
      <c r="D26" s="89"/>
      <c r="E26" s="89"/>
      <c r="F26" s="89">
        <v>15000</v>
      </c>
      <c r="G26" s="89">
        <v>30000</v>
      </c>
      <c r="H26" s="89">
        <v>170000</v>
      </c>
      <c r="I26" s="89">
        <f t="shared" si="0"/>
        <v>255000</v>
      </c>
      <c r="J26" s="89">
        <f t="shared" si="0"/>
        <v>382500</v>
      </c>
      <c r="K26" s="89">
        <f t="shared" si="2"/>
        <v>459000</v>
      </c>
      <c r="L26" s="89">
        <f t="shared" si="2"/>
        <v>550800</v>
      </c>
      <c r="M26" s="89">
        <f t="shared" si="2"/>
        <v>660960</v>
      </c>
    </row>
    <row r="27" spans="3:14" ht="15.75" x14ac:dyDescent="0.5">
      <c r="C27" s="88" t="s">
        <v>95</v>
      </c>
      <c r="D27" s="89"/>
      <c r="E27" s="89"/>
      <c r="F27" s="89">
        <v>50000</v>
      </c>
      <c r="G27" s="89">
        <v>100000</v>
      </c>
      <c r="H27" s="89">
        <v>290000</v>
      </c>
      <c r="I27" s="89">
        <f t="shared" si="0"/>
        <v>435000</v>
      </c>
      <c r="J27" s="89">
        <f t="shared" si="0"/>
        <v>652500</v>
      </c>
      <c r="K27" s="89">
        <f t="shared" si="2"/>
        <v>783000</v>
      </c>
      <c r="L27" s="89">
        <f t="shared" si="2"/>
        <v>939600</v>
      </c>
      <c r="M27" s="89">
        <f t="shared" si="2"/>
        <v>1127520</v>
      </c>
    </row>
    <row r="28" spans="3:14" ht="15.75" x14ac:dyDescent="0.5">
      <c r="C28" s="88" t="s">
        <v>96</v>
      </c>
      <c r="D28" s="89"/>
      <c r="E28" s="89"/>
      <c r="F28" s="89">
        <v>30000</v>
      </c>
      <c r="G28" s="89">
        <v>40000</v>
      </c>
      <c r="H28" s="89">
        <v>170000</v>
      </c>
      <c r="I28" s="89">
        <f t="shared" si="0"/>
        <v>255000</v>
      </c>
      <c r="J28" s="89">
        <f t="shared" si="0"/>
        <v>382500</v>
      </c>
      <c r="K28" s="89">
        <f t="shared" si="2"/>
        <v>459000</v>
      </c>
      <c r="L28" s="89">
        <f t="shared" si="2"/>
        <v>550800</v>
      </c>
      <c r="M28" s="89">
        <f t="shared" si="2"/>
        <v>660960</v>
      </c>
    </row>
    <row r="29" spans="3:14" ht="15.75" x14ac:dyDescent="0.5">
      <c r="C29" s="88" t="s">
        <v>98</v>
      </c>
      <c r="D29" s="89"/>
      <c r="E29" s="89"/>
      <c r="F29" s="89">
        <v>50000</v>
      </c>
      <c r="G29" s="89">
        <v>80000</v>
      </c>
      <c r="H29" s="89">
        <v>200000</v>
      </c>
      <c r="I29" s="89">
        <f t="shared" ref="I29" si="3">H29*1.4</f>
        <v>280000</v>
      </c>
      <c r="J29" s="89">
        <v>280000</v>
      </c>
      <c r="K29" s="89">
        <v>280000</v>
      </c>
      <c r="L29" s="89">
        <v>280000</v>
      </c>
      <c r="M29" s="89">
        <v>280000</v>
      </c>
    </row>
  </sheetData>
  <mergeCells count="1">
    <mergeCell ref="C21:H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53289-DB53-4773-8F5E-FAC402C82A00}">
  <dimension ref="A3:M18"/>
  <sheetViews>
    <sheetView showGridLines="0" workbookViewId="0">
      <selection activeCell="M10" sqref="M10"/>
    </sheetView>
  </sheetViews>
  <sheetFormatPr baseColWidth="10" defaultRowHeight="14.25" x14ac:dyDescent="0.45"/>
  <cols>
    <col min="1" max="1" width="15.53125" bestFit="1" customWidth="1"/>
    <col min="2" max="2" width="38.265625" bestFit="1" customWidth="1"/>
    <col min="3" max="3" width="10.73046875" bestFit="1" customWidth="1"/>
    <col min="4" max="5" width="10.86328125" bestFit="1" customWidth="1"/>
    <col min="6" max="7" width="12.33203125" bestFit="1" customWidth="1"/>
    <col min="11" max="12" width="10.86328125" bestFit="1" customWidth="1"/>
    <col min="13" max="13" width="12.46484375" customWidth="1"/>
  </cols>
  <sheetData>
    <row r="3" spans="1:13" x14ac:dyDescent="0.45">
      <c r="B3" t="s">
        <v>68</v>
      </c>
    </row>
    <row r="4" spans="1:13" x14ac:dyDescent="0.45">
      <c r="B4" t="s">
        <v>62</v>
      </c>
      <c r="C4" s="80">
        <v>120</v>
      </c>
    </row>
    <row r="6" spans="1:13" x14ac:dyDescent="0.45">
      <c r="B6" t="s">
        <v>67</v>
      </c>
    </row>
    <row r="7" spans="1:13" x14ac:dyDescent="0.45">
      <c r="B7" t="s">
        <v>62</v>
      </c>
      <c r="C7" s="80">
        <v>30000</v>
      </c>
    </row>
    <row r="9" spans="1:13" x14ac:dyDescent="0.45">
      <c r="B9" t="s">
        <v>64</v>
      </c>
      <c r="C9">
        <v>2021</v>
      </c>
      <c r="D9">
        <v>2022</v>
      </c>
      <c r="E9">
        <v>2023</v>
      </c>
      <c r="F9">
        <v>2024</v>
      </c>
      <c r="G9">
        <v>2025</v>
      </c>
      <c r="H9">
        <v>2026</v>
      </c>
      <c r="I9">
        <v>2027</v>
      </c>
      <c r="J9">
        <v>2028</v>
      </c>
      <c r="K9">
        <v>2029</v>
      </c>
      <c r="L9">
        <v>2030</v>
      </c>
    </row>
    <row r="10" spans="1:13" x14ac:dyDescent="0.45">
      <c r="A10" s="336" t="s">
        <v>63</v>
      </c>
      <c r="B10" t="s">
        <v>65</v>
      </c>
      <c r="C10" s="82">
        <v>0</v>
      </c>
      <c r="D10" s="82">
        <v>3000</v>
      </c>
      <c r="E10" s="82">
        <v>6000</v>
      </c>
      <c r="F10" s="82">
        <v>11000</v>
      </c>
      <c r="G10" s="82">
        <v>18000</v>
      </c>
      <c r="H10" s="82">
        <f t="shared" ref="H10:K11" si="0">ROUNDDOWN(G10*1.4,0)</f>
        <v>25200</v>
      </c>
      <c r="I10" s="82">
        <f t="shared" si="0"/>
        <v>35280</v>
      </c>
      <c r="J10" s="82">
        <f t="shared" si="0"/>
        <v>49392</v>
      </c>
      <c r="K10" s="82">
        <f t="shared" si="0"/>
        <v>69148</v>
      </c>
      <c r="L10" s="82">
        <f>ROUNDDOWN(K10*1.2,0)</f>
        <v>82977</v>
      </c>
      <c r="M10" s="1"/>
    </row>
    <row r="11" spans="1:13" x14ac:dyDescent="0.45">
      <c r="A11" s="336"/>
      <c r="B11" t="s">
        <v>66</v>
      </c>
      <c r="C11" s="82">
        <v>0</v>
      </c>
      <c r="D11" s="82">
        <v>5</v>
      </c>
      <c r="E11" s="82">
        <v>10</v>
      </c>
      <c r="F11" s="82">
        <v>22</v>
      </c>
      <c r="G11" s="82">
        <v>35</v>
      </c>
      <c r="H11" s="82">
        <f t="shared" si="0"/>
        <v>49</v>
      </c>
      <c r="I11" s="82">
        <f t="shared" si="0"/>
        <v>68</v>
      </c>
      <c r="J11" s="82">
        <f t="shared" si="0"/>
        <v>95</v>
      </c>
      <c r="K11" s="82">
        <f t="shared" si="0"/>
        <v>133</v>
      </c>
      <c r="L11" s="82">
        <f>ROUNDDOWN(K11*1.2,0)</f>
        <v>159</v>
      </c>
    </row>
    <row r="13" spans="1:13" x14ac:dyDescent="0.45">
      <c r="A13" s="332" t="s">
        <v>75</v>
      </c>
      <c r="B13" s="332"/>
      <c r="C13" s="332"/>
    </row>
    <row r="14" spans="1:13" x14ac:dyDescent="0.45">
      <c r="A14" t="s">
        <v>71</v>
      </c>
      <c r="B14" s="82">
        <v>160</v>
      </c>
      <c r="C14" t="s">
        <v>72</v>
      </c>
    </row>
    <row r="15" spans="1:13" x14ac:dyDescent="0.45">
      <c r="A15" t="s">
        <v>73</v>
      </c>
      <c r="B15" s="82">
        <v>40000</v>
      </c>
      <c r="C15" t="s">
        <v>72</v>
      </c>
    </row>
    <row r="17" spans="2:12" x14ac:dyDescent="0.45">
      <c r="B17" t="s">
        <v>64</v>
      </c>
      <c r="C17">
        <f t="shared" ref="C17:L17" si="1">C9</f>
        <v>2021</v>
      </c>
      <c r="D17">
        <f t="shared" si="1"/>
        <v>2022</v>
      </c>
      <c r="E17">
        <f t="shared" si="1"/>
        <v>2023</v>
      </c>
      <c r="F17">
        <f t="shared" si="1"/>
        <v>2024</v>
      </c>
      <c r="G17">
        <f t="shared" si="1"/>
        <v>2025</v>
      </c>
      <c r="H17">
        <f t="shared" si="1"/>
        <v>2026</v>
      </c>
      <c r="I17">
        <f t="shared" si="1"/>
        <v>2027</v>
      </c>
      <c r="J17">
        <f t="shared" si="1"/>
        <v>2028</v>
      </c>
      <c r="K17">
        <f t="shared" si="1"/>
        <v>2029</v>
      </c>
      <c r="L17">
        <f t="shared" si="1"/>
        <v>2030</v>
      </c>
    </row>
    <row r="18" spans="2:12" x14ac:dyDescent="0.45">
      <c r="B18" t="s">
        <v>74</v>
      </c>
      <c r="C18" s="81">
        <f t="shared" ref="C18:L18" si="2">$B$14*C10+$B$15*C11</f>
        <v>0</v>
      </c>
      <c r="D18" s="316">
        <f t="shared" si="2"/>
        <v>680000</v>
      </c>
      <c r="E18" s="81">
        <f t="shared" si="2"/>
        <v>1360000</v>
      </c>
      <c r="F18" s="81">
        <f t="shared" si="2"/>
        <v>2640000</v>
      </c>
      <c r="G18" s="81">
        <f t="shared" si="2"/>
        <v>4280000</v>
      </c>
      <c r="H18" s="81">
        <f t="shared" si="2"/>
        <v>5992000</v>
      </c>
      <c r="I18" s="81">
        <f t="shared" si="2"/>
        <v>8364800</v>
      </c>
      <c r="J18" s="81">
        <f t="shared" si="2"/>
        <v>11702720</v>
      </c>
      <c r="K18" s="81">
        <f t="shared" si="2"/>
        <v>16383680</v>
      </c>
      <c r="L18" s="81">
        <f t="shared" si="2"/>
        <v>19636320</v>
      </c>
    </row>
  </sheetData>
  <mergeCells count="2">
    <mergeCell ref="A10:A11"/>
    <mergeCell ref="A13:C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7FF8E-A11D-41A1-B66E-21DF81433D10}">
  <dimension ref="D4:G7"/>
  <sheetViews>
    <sheetView showGridLines="0" workbookViewId="0">
      <selection activeCell="G4" sqref="G4"/>
    </sheetView>
  </sheetViews>
  <sheetFormatPr baseColWidth="10" defaultRowHeight="14.25" x14ac:dyDescent="0.45"/>
  <cols>
    <col min="4" max="4" width="20.33203125" bestFit="1" customWidth="1"/>
    <col min="5" max="6" width="12.33203125" bestFit="1" customWidth="1"/>
  </cols>
  <sheetData>
    <row r="4" spans="4:7" x14ac:dyDescent="0.45">
      <c r="D4" t="s">
        <v>192</v>
      </c>
      <c r="E4" s="81">
        <v>1000000</v>
      </c>
      <c r="F4" s="295"/>
    </row>
    <row r="5" spans="4:7" x14ac:dyDescent="0.45">
      <c r="D5" t="s">
        <v>193</v>
      </c>
      <c r="E5" s="81">
        <v>1500000</v>
      </c>
    </row>
    <row r="7" spans="4:7" x14ac:dyDescent="0.45">
      <c r="G7" s="29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87A42-27A8-49C8-B380-2B3A979D7DEB}">
  <dimension ref="B2:L10"/>
  <sheetViews>
    <sheetView showGridLines="0" workbookViewId="0">
      <selection activeCell="E10" sqref="E10"/>
    </sheetView>
  </sheetViews>
  <sheetFormatPr baseColWidth="10" defaultRowHeight="14.25" x14ac:dyDescent="0.45"/>
  <cols>
    <col min="3" max="3" width="17.53125" bestFit="1" customWidth="1"/>
    <col min="4" max="4" width="14.53125" bestFit="1" customWidth="1"/>
    <col min="5" max="5" width="21.06640625" bestFit="1" customWidth="1"/>
    <col min="6" max="6" width="15" bestFit="1" customWidth="1"/>
  </cols>
  <sheetData>
    <row r="2" spans="2:12" ht="14.65" thickBot="1" x14ac:dyDescent="0.5">
      <c r="D2" t="s">
        <v>170</v>
      </c>
      <c r="E2" t="s">
        <v>165</v>
      </c>
      <c r="F2" t="s">
        <v>166</v>
      </c>
    </row>
    <row r="3" spans="2:12" x14ac:dyDescent="0.45">
      <c r="B3" t="s">
        <v>171</v>
      </c>
      <c r="C3" s="210" t="s">
        <v>169</v>
      </c>
      <c r="D3" s="223">
        <v>50000</v>
      </c>
      <c r="E3" s="337">
        <v>36</v>
      </c>
      <c r="F3" s="224">
        <v>1.02</v>
      </c>
      <c r="G3" t="s">
        <v>248</v>
      </c>
      <c r="H3" s="1"/>
      <c r="I3" s="1"/>
      <c r="J3" s="1"/>
      <c r="K3" s="1"/>
      <c r="L3" s="1"/>
    </row>
    <row r="4" spans="2:12" x14ac:dyDescent="0.45">
      <c r="C4" s="212" t="s">
        <v>168</v>
      </c>
      <c r="D4" s="225">
        <v>200000</v>
      </c>
      <c r="E4" s="338"/>
      <c r="F4" s="226">
        <v>1.05</v>
      </c>
      <c r="G4" t="s">
        <v>250</v>
      </c>
      <c r="H4" s="1"/>
      <c r="I4" s="1"/>
      <c r="J4" s="1"/>
      <c r="K4" s="1"/>
      <c r="L4" s="1"/>
    </row>
    <row r="5" spans="2:12" ht="14.65" thickBot="1" x14ac:dyDescent="0.5">
      <c r="C5" s="214" t="s">
        <v>167</v>
      </c>
      <c r="D5" s="227">
        <v>150000</v>
      </c>
      <c r="E5" s="339"/>
      <c r="F5" s="228">
        <v>1.05</v>
      </c>
      <c r="G5" t="s">
        <v>251</v>
      </c>
      <c r="H5" s="1"/>
      <c r="I5" s="1"/>
      <c r="J5" s="1"/>
      <c r="K5" s="1"/>
      <c r="L5" s="1"/>
    </row>
    <row r="6" spans="2:12" x14ac:dyDescent="0.45">
      <c r="B6" t="s">
        <v>172</v>
      </c>
      <c r="C6" s="210" t="s">
        <v>173</v>
      </c>
      <c r="D6" s="223">
        <v>2500</v>
      </c>
      <c r="E6" s="337">
        <v>60</v>
      </c>
      <c r="F6" s="224">
        <v>1</v>
      </c>
      <c r="G6" t="s">
        <v>249</v>
      </c>
      <c r="H6" s="1"/>
      <c r="I6" s="1"/>
      <c r="J6" s="1"/>
      <c r="K6" s="1"/>
      <c r="L6" s="1"/>
    </row>
    <row r="7" spans="2:12" ht="14.65" thickBot="1" x14ac:dyDescent="0.5">
      <c r="C7" s="214" t="s">
        <v>174</v>
      </c>
      <c r="D7" s="227">
        <v>5000</v>
      </c>
      <c r="E7" s="339"/>
      <c r="F7" s="228">
        <v>1</v>
      </c>
      <c r="H7" s="1"/>
      <c r="I7" s="1"/>
      <c r="J7" s="1"/>
      <c r="K7" s="1"/>
      <c r="L7" s="1"/>
    </row>
    <row r="8" spans="2:12" x14ac:dyDescent="0.45">
      <c r="B8" t="s">
        <v>175</v>
      </c>
      <c r="C8" t="s">
        <v>176</v>
      </c>
      <c r="D8" s="82">
        <v>3</v>
      </c>
      <c r="E8" t="s">
        <v>177</v>
      </c>
      <c r="H8" s="1"/>
      <c r="I8" s="1"/>
      <c r="J8" s="1"/>
      <c r="K8" s="1"/>
      <c r="L8" s="1"/>
    </row>
    <row r="10" spans="2:12" x14ac:dyDescent="0.45">
      <c r="C10" t="s">
        <v>197</v>
      </c>
      <c r="D10" s="73" t="s">
        <v>198</v>
      </c>
      <c r="E10" s="82">
        <v>60</v>
      </c>
    </row>
  </sheetData>
  <mergeCells count="2">
    <mergeCell ref="E3:E5"/>
    <mergeCell ref="E6:E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B519C-E501-445A-9B17-995571446245}">
  <dimension ref="B1:Q120"/>
  <sheetViews>
    <sheetView tabSelected="1" zoomScale="60" zoomScaleNormal="60" workbookViewId="0">
      <pane xSplit="7" ySplit="2" topLeftCell="H3" activePane="bottomRight" state="frozen"/>
      <selection pane="topRight" activeCell="H1" sqref="H1"/>
      <selection pane="bottomLeft" activeCell="A3" sqref="A3"/>
      <selection pane="bottomRight" activeCell="K10" sqref="K10"/>
    </sheetView>
  </sheetViews>
  <sheetFormatPr baseColWidth="10" defaultColWidth="10.59765625" defaultRowHeight="14.25" outlineLevelRow="2" x14ac:dyDescent="0.45"/>
  <cols>
    <col min="1" max="7" width="10.59765625" style="1"/>
    <col min="8" max="12" width="24.19921875" style="1" customWidth="1"/>
    <col min="13" max="13" width="24.265625" style="1" customWidth="1"/>
    <col min="14" max="14" width="24.3984375" style="1" customWidth="1"/>
    <col min="15" max="15" width="23.9296875" style="1" customWidth="1"/>
    <col min="16" max="17" width="24.265625" style="1" customWidth="1"/>
    <col min="18" max="16384" width="10.59765625" style="1"/>
  </cols>
  <sheetData>
    <row r="1" spans="2:17" ht="14.65" thickBot="1" x14ac:dyDescent="0.5"/>
    <row r="2" spans="2:17" ht="16.149999999999999" thickBot="1" x14ac:dyDescent="0.55000000000000004">
      <c r="B2" s="2"/>
      <c r="C2" s="2"/>
      <c r="D2" s="2"/>
      <c r="E2" s="2"/>
      <c r="F2" s="2"/>
      <c r="G2" s="2"/>
      <c r="H2" s="390">
        <f t="shared" ref="H2:Q2" si="0">H7</f>
        <v>2021</v>
      </c>
      <c r="I2" s="391">
        <f t="shared" si="0"/>
        <v>2022</v>
      </c>
      <c r="J2" s="391">
        <f t="shared" si="0"/>
        <v>2023</v>
      </c>
      <c r="K2" s="391">
        <f t="shared" si="0"/>
        <v>2024</v>
      </c>
      <c r="L2" s="392">
        <f t="shared" si="0"/>
        <v>2025</v>
      </c>
      <c r="M2" s="391">
        <f t="shared" si="0"/>
        <v>2026</v>
      </c>
      <c r="N2" s="392">
        <f t="shared" si="0"/>
        <v>2027</v>
      </c>
      <c r="O2" s="391">
        <f t="shared" si="0"/>
        <v>2028</v>
      </c>
      <c r="P2" s="392">
        <f t="shared" si="0"/>
        <v>2029</v>
      </c>
      <c r="Q2" s="391">
        <f t="shared" si="0"/>
        <v>2030</v>
      </c>
    </row>
    <row r="3" spans="2:17" x14ac:dyDescent="0.45">
      <c r="B3" s="2"/>
      <c r="C3" s="345" t="s">
        <v>10</v>
      </c>
      <c r="D3" s="346"/>
      <c r="E3" s="346"/>
      <c r="F3" s="346"/>
      <c r="G3" s="346"/>
      <c r="H3" s="396"/>
      <c r="I3" s="397"/>
      <c r="J3" s="397"/>
      <c r="K3" s="397"/>
      <c r="L3" s="397"/>
      <c r="M3" s="397"/>
      <c r="N3" s="397"/>
      <c r="O3" s="397"/>
      <c r="P3" s="397"/>
      <c r="Q3" s="398"/>
    </row>
    <row r="4" spans="2:17" x14ac:dyDescent="0.45">
      <c r="B4" s="2"/>
      <c r="C4" s="347"/>
      <c r="D4" s="348"/>
      <c r="E4" s="348"/>
      <c r="F4" s="348"/>
      <c r="G4" s="348"/>
      <c r="H4" s="3"/>
      <c r="I4" s="4"/>
      <c r="J4" s="4"/>
      <c r="K4" s="4"/>
      <c r="L4" s="4"/>
      <c r="M4" s="4"/>
      <c r="N4" s="4"/>
      <c r="O4" s="4"/>
      <c r="P4" s="4"/>
      <c r="Q4" s="5"/>
    </row>
    <row r="5" spans="2:17" x14ac:dyDescent="0.45">
      <c r="B5" s="2"/>
      <c r="C5" s="347"/>
      <c r="D5" s="348"/>
      <c r="E5" s="348"/>
      <c r="F5" s="348"/>
      <c r="G5" s="348"/>
      <c r="H5" s="3"/>
      <c r="I5" s="4"/>
      <c r="J5" s="4"/>
      <c r="K5" s="4"/>
      <c r="L5" s="4"/>
      <c r="M5" s="4"/>
      <c r="N5" s="4"/>
      <c r="O5" s="4"/>
      <c r="P5" s="4"/>
      <c r="Q5" s="5"/>
    </row>
    <row r="6" spans="2:17" ht="16.149999999999999" thickBot="1" x14ac:dyDescent="0.55000000000000004">
      <c r="B6" s="2"/>
      <c r="C6" s="349"/>
      <c r="D6" s="350"/>
      <c r="E6" s="350"/>
      <c r="F6" s="350"/>
      <c r="G6" s="350"/>
      <c r="H6" s="6"/>
      <c r="I6" s="7"/>
      <c r="J6" s="7"/>
      <c r="K6" s="7"/>
      <c r="L6" s="7"/>
      <c r="M6" s="7"/>
      <c r="N6" s="7"/>
      <c r="O6" s="7"/>
      <c r="P6" s="7"/>
      <c r="Q6" s="8"/>
    </row>
    <row r="7" spans="2:17" ht="16.149999999999999" thickBot="1" x14ac:dyDescent="0.55000000000000004">
      <c r="B7" s="2"/>
      <c r="C7" s="9"/>
      <c r="D7" s="10"/>
      <c r="E7" s="10"/>
      <c r="F7" s="10"/>
      <c r="G7" s="11"/>
      <c r="H7" s="393">
        <v>2021</v>
      </c>
      <c r="I7" s="394">
        <v>2022</v>
      </c>
      <c r="J7" s="394">
        <v>2023</v>
      </c>
      <c r="K7" s="394">
        <v>2024</v>
      </c>
      <c r="L7" s="395">
        <v>2025</v>
      </c>
      <c r="M7" s="394">
        <v>2026</v>
      </c>
      <c r="N7" s="395">
        <v>2027</v>
      </c>
      <c r="O7" s="394">
        <v>2028</v>
      </c>
      <c r="P7" s="395">
        <v>2029</v>
      </c>
      <c r="Q7" s="394">
        <v>2030</v>
      </c>
    </row>
    <row r="8" spans="2:17" ht="15.75" x14ac:dyDescent="0.5">
      <c r="B8" s="2"/>
      <c r="C8" s="12"/>
      <c r="D8" s="13"/>
      <c r="E8" s="13"/>
      <c r="F8" s="13"/>
      <c r="G8" s="14"/>
      <c r="H8" s="15"/>
      <c r="I8" s="15"/>
      <c r="J8" s="15"/>
      <c r="K8" s="15"/>
      <c r="L8" s="83"/>
      <c r="M8" s="229"/>
    </row>
    <row r="9" spans="2:17" ht="15.75" x14ac:dyDescent="0.5">
      <c r="B9" s="16"/>
      <c r="C9" s="17" t="s">
        <v>69</v>
      </c>
      <c r="D9" s="16"/>
      <c r="E9" s="18"/>
      <c r="F9" s="16"/>
      <c r="G9" s="19"/>
      <c r="H9" s="20">
        <f>'Hypothèses de revenus'!C10*'Hypothèses de revenus'!$C$4</f>
        <v>0</v>
      </c>
      <c r="I9" s="20">
        <f>'Hypothèses de revenus'!D10*'Hypothèses de revenus'!$C$4</f>
        <v>360000</v>
      </c>
      <c r="J9" s="20">
        <f>'Hypothèses de revenus'!E10*'Hypothèses de revenus'!$C$4</f>
        <v>720000</v>
      </c>
      <c r="K9" s="20">
        <f>'Hypothèses de revenus'!F10*'Hypothèses de revenus'!$C$4</f>
        <v>1320000</v>
      </c>
      <c r="L9" s="21">
        <f>'Hypothèses de revenus'!G10*'Hypothèses de revenus'!$C$4</f>
        <v>2160000</v>
      </c>
      <c r="M9" s="21">
        <f>'Hypothèses de revenus'!H10*'Hypothèses de revenus'!$C$4</f>
        <v>3024000</v>
      </c>
      <c r="N9" s="21">
        <f>'Hypothèses de revenus'!I10*'Hypothèses de revenus'!$C$4</f>
        <v>4233600</v>
      </c>
      <c r="O9" s="21">
        <f>'Hypothèses de revenus'!J10*'Hypothèses de revenus'!$C$4</f>
        <v>5927040</v>
      </c>
      <c r="P9" s="21">
        <f>'Hypothèses de revenus'!K10*'Hypothèses de revenus'!$C$4</f>
        <v>8297760</v>
      </c>
      <c r="Q9" s="21">
        <f>'Hypothèses de revenus'!L10*'Hypothèses de revenus'!$C$4</f>
        <v>9957240</v>
      </c>
    </row>
    <row r="10" spans="2:17" ht="15.75" x14ac:dyDescent="0.5">
      <c r="B10" s="16"/>
      <c r="C10" s="17" t="s">
        <v>70</v>
      </c>
      <c r="D10" s="16"/>
      <c r="E10" s="18"/>
      <c r="F10" s="16"/>
      <c r="G10" s="19"/>
      <c r="H10" s="20">
        <f>'Hypothèses de revenus'!C11*'Hypothèses de revenus'!$C$7</f>
        <v>0</v>
      </c>
      <c r="I10" s="20">
        <f>'Hypothèses de revenus'!D11*'Hypothèses de revenus'!$C$7</f>
        <v>150000</v>
      </c>
      <c r="J10" s="20">
        <f>'Hypothèses de revenus'!E11*'Hypothèses de revenus'!$C$7</f>
        <v>300000</v>
      </c>
      <c r="K10" s="20">
        <f>'Hypothèses de revenus'!F11*'Hypothèses de revenus'!$C$7</f>
        <v>660000</v>
      </c>
      <c r="L10" s="21">
        <f>'Hypothèses de revenus'!G11*'Hypothèses de revenus'!$C$7</f>
        <v>1050000</v>
      </c>
      <c r="M10" s="21">
        <f>'Hypothèses de revenus'!H11*'Hypothèses de revenus'!$C$7</f>
        <v>1470000</v>
      </c>
      <c r="N10" s="21">
        <f>'Hypothèses de revenus'!I11*'Hypothèses de revenus'!$C$7</f>
        <v>2040000</v>
      </c>
      <c r="O10" s="21">
        <f>'Hypothèses de revenus'!J11*'Hypothèses de revenus'!$C$7</f>
        <v>2850000</v>
      </c>
      <c r="P10" s="21">
        <f>'Hypothèses de revenus'!K11*'Hypothèses de revenus'!$C$7</f>
        <v>3990000</v>
      </c>
      <c r="Q10" s="21">
        <f>'Hypothèses de revenus'!L11*'Hypothèses de revenus'!$C$7</f>
        <v>4770000</v>
      </c>
    </row>
    <row r="11" spans="2:17" ht="16.149999999999999" thickBot="1" x14ac:dyDescent="0.55000000000000004">
      <c r="B11" s="16"/>
      <c r="C11" s="17"/>
      <c r="D11" s="16"/>
      <c r="E11" s="18"/>
      <c r="F11" s="16"/>
      <c r="G11" s="19"/>
      <c r="H11" s="20"/>
      <c r="I11" s="20"/>
      <c r="J11" s="20"/>
      <c r="K11" s="20"/>
      <c r="L11" s="21"/>
      <c r="M11" s="21"/>
      <c r="N11" s="21"/>
      <c r="O11" s="21"/>
      <c r="P11" s="21"/>
      <c r="Q11" s="21"/>
    </row>
    <row r="12" spans="2:17" ht="16.149999999999999" thickBot="1" x14ac:dyDescent="0.55000000000000004">
      <c r="B12" s="16"/>
      <c r="C12" s="95"/>
      <c r="D12" s="96"/>
      <c r="E12" s="97"/>
      <c r="F12" s="96"/>
      <c r="G12" s="97" t="s">
        <v>79</v>
      </c>
      <c r="H12" s="99">
        <f t="shared" ref="H12:Q12" si="1">H9+H10</f>
        <v>0</v>
      </c>
      <c r="I12" s="99">
        <f t="shared" si="1"/>
        <v>510000</v>
      </c>
      <c r="J12" s="99">
        <f t="shared" si="1"/>
        <v>1020000</v>
      </c>
      <c r="K12" s="99">
        <f t="shared" si="1"/>
        <v>1980000</v>
      </c>
      <c r="L12" s="98">
        <f t="shared" si="1"/>
        <v>3210000</v>
      </c>
      <c r="M12" s="98">
        <f t="shared" si="1"/>
        <v>4494000</v>
      </c>
      <c r="N12" s="98">
        <f t="shared" si="1"/>
        <v>6273600</v>
      </c>
      <c r="O12" s="98">
        <f t="shared" si="1"/>
        <v>8777040</v>
      </c>
      <c r="P12" s="98">
        <f t="shared" si="1"/>
        <v>12287760</v>
      </c>
      <c r="Q12" s="98">
        <f t="shared" si="1"/>
        <v>14727240</v>
      </c>
    </row>
    <row r="13" spans="2:17" ht="15.75" x14ac:dyDescent="0.5">
      <c r="B13" s="16"/>
      <c r="C13" s="219"/>
      <c r="D13" s="61"/>
      <c r="E13" s="220"/>
      <c r="F13" s="61"/>
      <c r="G13" s="221"/>
      <c r="H13" s="85"/>
      <c r="I13" s="85"/>
      <c r="J13" s="85"/>
      <c r="K13" s="85"/>
      <c r="L13" s="60"/>
      <c r="M13" s="60"/>
      <c r="N13" s="60"/>
      <c r="O13" s="60"/>
      <c r="P13" s="60"/>
      <c r="Q13" s="60"/>
    </row>
    <row r="14" spans="2:17" ht="15.75" x14ac:dyDescent="0.5">
      <c r="B14" s="16"/>
      <c r="C14" s="222" t="s">
        <v>252</v>
      </c>
      <c r="D14" s="16"/>
      <c r="E14" s="18"/>
      <c r="F14" s="16"/>
      <c r="G14" s="19"/>
      <c r="H14" s="20">
        <f>'Calcul du CIR'!D27*(1-'Calcul du CIR'!D32)</f>
        <v>0</v>
      </c>
      <c r="I14" s="20">
        <f>'Calcul du CIR'!E27*(1-'Calcul du CIR'!E32)</f>
        <v>167186.304</v>
      </c>
      <c r="J14" s="20">
        <f>'Calcul du CIR'!F27*(1-'Calcul du CIR'!F32)</f>
        <v>352445.75999999995</v>
      </c>
      <c r="K14" s="20">
        <f>'Calcul du CIR'!G27*(1-'Calcul du CIR'!G32)</f>
        <v>520610.16</v>
      </c>
      <c r="L14" s="20">
        <f>'Calcul du CIR'!H27*(1-'Calcul du CIR'!H32)</f>
        <v>790440.53759999992</v>
      </c>
      <c r="M14" s="20">
        <f>'Calcul du CIR'!I27*(1-'Calcul du CIR'!I32)</f>
        <v>892779.40800000005</v>
      </c>
      <c r="N14" s="20">
        <f>'Calcul du CIR'!J27*(1-'Calcul du CIR'!J32)</f>
        <v>1002856.9824000001</v>
      </c>
      <c r="O14" s="20">
        <f>'Calcul du CIR'!K27*(1-'Calcul du CIR'!K32)</f>
        <v>1062229.7952000001</v>
      </c>
      <c r="P14" s="20">
        <f>'Calcul du CIR'!L27*(1-'Calcul du CIR'!L32)</f>
        <v>1118589.6960000002</v>
      </c>
      <c r="Q14" s="20">
        <f>'Calcul du CIR'!M27*(1-'Calcul du CIR'!M32)</f>
        <v>1173348.7128000003</v>
      </c>
    </row>
    <row r="15" spans="2:17" ht="15.75" x14ac:dyDescent="0.5">
      <c r="B15" s="16"/>
      <c r="C15" s="222" t="s">
        <v>194</v>
      </c>
      <c r="D15" s="16"/>
      <c r="E15" s="18"/>
      <c r="F15" s="16"/>
      <c r="G15" s="19"/>
      <c r="H15" s="20">
        <v>500000</v>
      </c>
      <c r="I15" s="20"/>
      <c r="J15" s="20"/>
      <c r="K15" s="20">
        <f>'Calcul du CIR'!G28</f>
        <v>0</v>
      </c>
      <c r="L15" s="21">
        <f>'Calcul du CIR'!H28</f>
        <v>0</v>
      </c>
      <c r="M15" s="21">
        <f>'Calcul du CIR'!I28</f>
        <v>0</v>
      </c>
      <c r="N15" s="21">
        <f>'Calcul du CIR'!J28</f>
        <v>0</v>
      </c>
      <c r="O15" s="21">
        <f>'Calcul du CIR'!K28</f>
        <v>0</v>
      </c>
      <c r="P15" s="21">
        <f>'Calcul du CIR'!L28</f>
        <v>0</v>
      </c>
      <c r="Q15" s="21">
        <f>'Calcul du CIR'!M28</f>
        <v>0</v>
      </c>
    </row>
    <row r="16" spans="2:17" ht="15.75" x14ac:dyDescent="0.5">
      <c r="B16" s="16"/>
      <c r="C16" s="77"/>
      <c r="D16" s="16"/>
      <c r="E16" s="18"/>
      <c r="F16" s="16"/>
      <c r="G16" s="19" t="s">
        <v>195</v>
      </c>
      <c r="H16" s="85">
        <f t="shared" ref="H16:Q16" si="2">H14+H15</f>
        <v>500000</v>
      </c>
      <c r="I16" s="85">
        <f t="shared" si="2"/>
        <v>167186.304</v>
      </c>
      <c r="J16" s="85">
        <f t="shared" si="2"/>
        <v>352445.75999999995</v>
      </c>
      <c r="K16" s="85">
        <f t="shared" si="2"/>
        <v>520610.16</v>
      </c>
      <c r="L16" s="43">
        <f t="shared" si="2"/>
        <v>790440.53759999992</v>
      </c>
      <c r="M16" s="43">
        <f t="shared" si="2"/>
        <v>892779.40800000005</v>
      </c>
      <c r="N16" s="43">
        <f t="shared" si="2"/>
        <v>1002856.9824000001</v>
      </c>
      <c r="O16" s="43">
        <f t="shared" si="2"/>
        <v>1062229.7952000001</v>
      </c>
      <c r="P16" s="43">
        <f t="shared" si="2"/>
        <v>1118589.6960000002</v>
      </c>
      <c r="Q16" s="43">
        <f t="shared" si="2"/>
        <v>1173348.7128000003</v>
      </c>
    </row>
    <row r="17" spans="2:17" ht="16.149999999999999" thickBot="1" x14ac:dyDescent="0.55000000000000004">
      <c r="B17" s="22"/>
      <c r="C17" s="25"/>
      <c r="D17" s="26"/>
      <c r="E17" s="27"/>
      <c r="F17" s="26"/>
      <c r="G17" s="28"/>
      <c r="H17" s="29"/>
      <c r="I17" s="29"/>
      <c r="J17" s="29"/>
      <c r="K17" s="29"/>
      <c r="L17" s="30"/>
      <c r="M17" s="30"/>
      <c r="N17" s="30"/>
      <c r="O17" s="30"/>
      <c r="P17" s="30"/>
      <c r="Q17" s="30"/>
    </row>
    <row r="18" spans="2:17" ht="16.149999999999999" thickBot="1" x14ac:dyDescent="0.55000000000000004">
      <c r="B18" s="31"/>
      <c r="C18" s="340" t="s">
        <v>11</v>
      </c>
      <c r="D18" s="341"/>
      <c r="E18" s="341"/>
      <c r="F18" s="341"/>
      <c r="G18" s="341"/>
      <c r="H18" s="32">
        <f t="shared" ref="H18:Q18" si="3">H12+H16</f>
        <v>500000</v>
      </c>
      <c r="I18" s="33">
        <f t="shared" si="3"/>
        <v>677186.304</v>
      </c>
      <c r="J18" s="33">
        <f t="shared" si="3"/>
        <v>1372445.76</v>
      </c>
      <c r="K18" s="33">
        <f t="shared" si="3"/>
        <v>2500610.16</v>
      </c>
      <c r="L18" s="34">
        <f t="shared" si="3"/>
        <v>4000440.5375999999</v>
      </c>
      <c r="M18" s="34">
        <f t="shared" si="3"/>
        <v>5386779.4079999998</v>
      </c>
      <c r="N18" s="34">
        <f t="shared" si="3"/>
        <v>7276456.9824000001</v>
      </c>
      <c r="O18" s="34">
        <f t="shared" si="3"/>
        <v>9839269.7951999996</v>
      </c>
      <c r="P18" s="34">
        <f t="shared" si="3"/>
        <v>13406349.696</v>
      </c>
      <c r="Q18" s="34">
        <f t="shared" si="3"/>
        <v>15900588.7128</v>
      </c>
    </row>
    <row r="19" spans="2:17" ht="16.149999999999999" thickBot="1" x14ac:dyDescent="0.55000000000000004">
      <c r="B19" s="22"/>
      <c r="C19" s="35"/>
      <c r="D19" s="36"/>
      <c r="E19" s="36"/>
      <c r="F19" s="36"/>
      <c r="G19" s="37"/>
      <c r="H19" s="38"/>
      <c r="I19" s="38"/>
      <c r="J19" s="39"/>
      <c r="K19" s="38"/>
      <c r="L19" s="38"/>
      <c r="M19" s="38"/>
      <c r="N19" s="38"/>
      <c r="O19" s="38"/>
      <c r="P19" s="38"/>
      <c r="Q19" s="38"/>
    </row>
    <row r="20" spans="2:17" ht="15.75" hidden="1" outlineLevel="1" x14ac:dyDescent="0.5">
      <c r="B20" s="22"/>
      <c r="C20" s="17" t="s">
        <v>76</v>
      </c>
      <c r="D20" s="40"/>
      <c r="E20" s="40"/>
      <c r="F20" s="40"/>
      <c r="G20" s="41"/>
      <c r="H20" s="21">
        <f>'Hypothèses de coûts'!D8*H12</f>
        <v>0</v>
      </c>
      <c r="I20" s="21">
        <f>'Hypothèses de coûts'!E8*I12</f>
        <v>51000</v>
      </c>
      <c r="J20" s="22">
        <f>'Hypothèses de coûts'!F8*J12</f>
        <v>102000</v>
      </c>
      <c r="K20" s="21">
        <f>'Hypothèses de coûts'!G8*K12</f>
        <v>178200</v>
      </c>
      <c r="L20" s="21">
        <f>'Hypothèses de coûts'!H8*L12</f>
        <v>256800</v>
      </c>
      <c r="M20" s="21">
        <f>'Hypothèses de coûts'!I8*M12</f>
        <v>314580.00000000006</v>
      </c>
      <c r="N20" s="21">
        <f>'Hypothèses de coûts'!J8*N12</f>
        <v>376416</v>
      </c>
      <c r="O20" s="21">
        <f>'Hypothèses de coûts'!K8*O12</f>
        <v>438852</v>
      </c>
      <c r="P20" s="21">
        <f>'Hypothèses de coûts'!L8*P12</f>
        <v>614388</v>
      </c>
      <c r="Q20" s="21">
        <f>'Hypothèses de coûts'!M8*Q12</f>
        <v>736362</v>
      </c>
    </row>
    <row r="21" spans="2:17" ht="15.75" hidden="1" outlineLevel="1" x14ac:dyDescent="0.5">
      <c r="B21" s="22"/>
      <c r="C21" s="17" t="s">
        <v>82</v>
      </c>
      <c r="D21" s="40"/>
      <c r="E21" s="40"/>
      <c r="F21" s="40"/>
      <c r="G21" s="41"/>
      <c r="H21" s="21">
        <f>H12*'Hypothèses de coûts'!D11</f>
        <v>0</v>
      </c>
      <c r="I21" s="21">
        <f>I12*'Hypothèses de coûts'!E11</f>
        <v>0</v>
      </c>
      <c r="J21" s="21">
        <f>J12*'Hypothèses de coûts'!F11</f>
        <v>0</v>
      </c>
      <c r="K21" s="21">
        <f>K12*'Hypothèses de coûts'!G11</f>
        <v>0</v>
      </c>
      <c r="L21" s="21">
        <f>L12*'Hypothèses de coûts'!H11</f>
        <v>0</v>
      </c>
      <c r="M21" s="21">
        <f>M12*'Hypothèses de coûts'!I11</f>
        <v>0</v>
      </c>
      <c r="N21" s="21">
        <f>N12*'Hypothèses de coûts'!J11</f>
        <v>0</v>
      </c>
      <c r="O21" s="21">
        <f>O12*'Hypothèses de coûts'!K11</f>
        <v>0</v>
      </c>
      <c r="P21" s="21">
        <f>P12*'Hypothèses de coûts'!L11</f>
        <v>0</v>
      </c>
      <c r="Q21" s="21">
        <f>Q12*'Hypothèses de coûts'!M11</f>
        <v>0</v>
      </c>
    </row>
    <row r="22" spans="2:17" ht="15.75" hidden="1" outlineLevel="1" x14ac:dyDescent="0.5">
      <c r="B22" s="22"/>
      <c r="C22" s="17" t="s">
        <v>77</v>
      </c>
      <c r="D22" s="40"/>
      <c r="E22" s="40"/>
      <c r="F22" s="40"/>
      <c r="G22" s="41"/>
      <c r="H22" s="21">
        <f>'Hypothèses de coûts'!D9*H12</f>
        <v>0</v>
      </c>
      <c r="I22" s="21">
        <f>'Hypothèses de coûts'!E9*I12</f>
        <v>25500</v>
      </c>
      <c r="J22" s="21">
        <f>'Hypothèses de coûts'!F9*J12</f>
        <v>51000</v>
      </c>
      <c r="K22" s="21">
        <f>'Hypothèses de coûts'!G9*K12</f>
        <v>99000</v>
      </c>
      <c r="L22" s="21">
        <f>'Hypothèses de coûts'!H9*L12</f>
        <v>128400</v>
      </c>
      <c r="M22" s="21">
        <f>'Hypothèses de coûts'!I9*M12</f>
        <v>179760</v>
      </c>
      <c r="N22" s="21">
        <f>'Hypothèses de coûts'!J9*N12</f>
        <v>188208</v>
      </c>
      <c r="O22" s="21">
        <f>'Hypothèses de coûts'!K9*O12</f>
        <v>263311.2</v>
      </c>
      <c r="P22" s="21">
        <f>'Hypothèses de coûts'!L9*P12</f>
        <v>368632.8</v>
      </c>
      <c r="Q22" s="21">
        <f>'Hypothèses de coûts'!M9*Q12</f>
        <v>441817.2</v>
      </c>
    </row>
    <row r="23" spans="2:17" ht="15.75" hidden="1" outlineLevel="1" x14ac:dyDescent="0.5">
      <c r="B23" s="22"/>
      <c r="C23" s="17" t="s">
        <v>100</v>
      </c>
      <c r="D23" s="22"/>
      <c r="E23" s="23"/>
      <c r="F23" s="22"/>
      <c r="G23" s="24"/>
      <c r="H23" s="21">
        <f>'Hypothèses de revenus'!C18*'Hypothèses de coûts'!D10/1000</f>
        <v>0</v>
      </c>
      <c r="I23" s="21">
        <f>'Hypothèses de revenus'!D18*'Hypothèses de coûts'!E10/1000</f>
        <v>6800</v>
      </c>
      <c r="J23" s="21">
        <f>'Hypothèses de revenus'!E18*'Hypothèses de coûts'!F10/1000</f>
        <v>13600</v>
      </c>
      <c r="K23" s="21">
        <f>'Hypothèses de revenus'!F18*'Hypothèses de coûts'!G10/1000</f>
        <v>26400</v>
      </c>
      <c r="L23" s="21">
        <f>'Hypothèses de revenus'!G18*'Hypothèses de coûts'!H10/1000</f>
        <v>42800</v>
      </c>
      <c r="M23" s="21">
        <f>'Hypothèses de revenus'!H18*'Hypothèses de coûts'!I10/1000</f>
        <v>65912</v>
      </c>
      <c r="N23" s="21">
        <f>'Hypothèses de revenus'!I18*'Hypothèses de coûts'!J10/1000</f>
        <v>100377.60000000001</v>
      </c>
      <c r="O23" s="21">
        <f>'Hypothèses de revenus'!J18*'Hypothèses de coûts'!K10/1000</f>
        <v>152135.35999999999</v>
      </c>
      <c r="P23" s="21">
        <f>'Hypothèses de revenus'!K18*'Hypothèses de coûts'!L10/1000</f>
        <v>229371.51999999999</v>
      </c>
      <c r="Q23" s="21">
        <f>'Hypothèses de revenus'!L18*'Hypothèses de coûts'!M10/1000</f>
        <v>294544.8</v>
      </c>
    </row>
    <row r="24" spans="2:17" ht="16.149999999999999" hidden="1" outlineLevel="1" thickBot="1" x14ac:dyDescent="0.55000000000000004">
      <c r="B24" s="22"/>
      <c r="C24" s="42"/>
      <c r="D24" s="22"/>
      <c r="E24" s="23"/>
      <c r="F24" s="22"/>
      <c r="G24" s="24"/>
      <c r="H24" s="43"/>
      <c r="I24" s="43"/>
      <c r="J24" s="16"/>
      <c r="K24" s="43"/>
      <c r="L24" s="43"/>
      <c r="M24" s="43"/>
      <c r="N24" s="43"/>
      <c r="O24" s="43"/>
      <c r="P24" s="43"/>
      <c r="Q24" s="43"/>
    </row>
    <row r="25" spans="2:17" ht="16.149999999999999" collapsed="1" thickBot="1" x14ac:dyDescent="0.55000000000000004">
      <c r="B25" s="22"/>
      <c r="C25" s="95"/>
      <c r="D25" s="96"/>
      <c r="E25" s="97"/>
      <c r="F25" s="96"/>
      <c r="G25" s="97" t="s">
        <v>12</v>
      </c>
      <c r="H25" s="99">
        <f t="shared" ref="H25:Q25" si="4">SUM(H20:H23)</f>
        <v>0</v>
      </c>
      <c r="I25" s="99">
        <f t="shared" si="4"/>
        <v>83300</v>
      </c>
      <c r="J25" s="99">
        <f t="shared" si="4"/>
        <v>166600</v>
      </c>
      <c r="K25" s="99">
        <f t="shared" si="4"/>
        <v>303600</v>
      </c>
      <c r="L25" s="98">
        <f t="shared" si="4"/>
        <v>428000</v>
      </c>
      <c r="M25" s="98">
        <f t="shared" si="4"/>
        <v>560252</v>
      </c>
      <c r="N25" s="98">
        <f t="shared" si="4"/>
        <v>665001.6</v>
      </c>
      <c r="O25" s="98">
        <f t="shared" si="4"/>
        <v>854298.55999999994</v>
      </c>
      <c r="P25" s="98">
        <f t="shared" si="4"/>
        <v>1212392.32</v>
      </c>
      <c r="Q25" s="98">
        <f t="shared" si="4"/>
        <v>1472724</v>
      </c>
    </row>
    <row r="26" spans="2:17" ht="16.149999999999999" thickBot="1" x14ac:dyDescent="0.55000000000000004">
      <c r="B26" s="22"/>
      <c r="C26" s="44"/>
      <c r="D26" s="26"/>
      <c r="E26" s="27"/>
      <c r="F26" s="26"/>
      <c r="G26" s="28"/>
      <c r="H26" s="45"/>
      <c r="I26" s="45"/>
      <c r="J26" s="46"/>
      <c r="K26" s="45"/>
      <c r="L26" s="45"/>
      <c r="M26" s="45"/>
      <c r="N26" s="45"/>
      <c r="O26" s="45"/>
      <c r="P26" s="45"/>
      <c r="Q26" s="45"/>
    </row>
    <row r="27" spans="2:17" ht="16.149999999999999" thickBot="1" x14ac:dyDescent="0.55000000000000004">
      <c r="B27" s="47"/>
      <c r="C27" s="340" t="s">
        <v>13</v>
      </c>
      <c r="D27" s="341"/>
      <c r="E27" s="341"/>
      <c r="F27" s="341"/>
      <c r="G27" s="341"/>
      <c r="H27" s="32">
        <f t="shared" ref="H27:Q27" si="5">H18-H25</f>
        <v>500000</v>
      </c>
      <c r="I27" s="33">
        <f t="shared" si="5"/>
        <v>593886.304</v>
      </c>
      <c r="J27" s="33">
        <f t="shared" si="5"/>
        <v>1205845.76</v>
      </c>
      <c r="K27" s="33">
        <f t="shared" si="5"/>
        <v>2197010.16</v>
      </c>
      <c r="L27" s="34">
        <f t="shared" si="5"/>
        <v>3572440.5375999999</v>
      </c>
      <c r="M27" s="34">
        <f t="shared" si="5"/>
        <v>4826527.4079999998</v>
      </c>
      <c r="N27" s="34">
        <f t="shared" si="5"/>
        <v>6611455.3824000005</v>
      </c>
      <c r="O27" s="34">
        <f t="shared" si="5"/>
        <v>8984971.2351999991</v>
      </c>
      <c r="P27" s="34">
        <f t="shared" si="5"/>
        <v>12193957.376</v>
      </c>
      <c r="Q27" s="34">
        <f t="shared" si="5"/>
        <v>14427864.7128</v>
      </c>
    </row>
    <row r="28" spans="2:17" ht="15.75" x14ac:dyDescent="0.5">
      <c r="B28" s="47"/>
      <c r="C28" s="48"/>
      <c r="D28" s="49"/>
      <c r="E28" s="49"/>
      <c r="F28" s="47"/>
      <c r="G28" s="50"/>
      <c r="H28" s="51"/>
      <c r="I28" s="52"/>
      <c r="J28" s="51"/>
      <c r="K28" s="52"/>
      <c r="L28" s="51"/>
      <c r="M28" s="51"/>
      <c r="N28" s="51"/>
      <c r="O28" s="51"/>
      <c r="P28" s="51"/>
      <c r="Q28" s="51"/>
    </row>
    <row r="29" spans="2:17" ht="15.75" hidden="1" outlineLevel="1" x14ac:dyDescent="0.5">
      <c r="B29" s="16"/>
      <c r="C29" s="17" t="s">
        <v>14</v>
      </c>
      <c r="D29" s="22"/>
      <c r="E29" s="23"/>
      <c r="F29" s="22"/>
      <c r="G29" s="23"/>
      <c r="H29" s="21">
        <f>'Hypothèses de coûts'!D5*12</f>
        <v>30000</v>
      </c>
      <c r="I29" s="21">
        <f>'Hypothèses de coûts'!E5*12</f>
        <v>42000</v>
      </c>
      <c r="J29" s="21">
        <f>'Hypothèses de coûts'!F5*12</f>
        <v>60000</v>
      </c>
      <c r="K29" s="21">
        <f>'Hypothèses de coûts'!G5*12</f>
        <v>60000</v>
      </c>
      <c r="L29" s="21">
        <f>'Hypothèses de coûts'!H5*12</f>
        <v>60000</v>
      </c>
      <c r="M29" s="21">
        <f>'Hypothèses de coûts'!I5*12</f>
        <v>60000</v>
      </c>
      <c r="N29" s="21">
        <f>'Hypothèses de coûts'!J5*12</f>
        <v>60000</v>
      </c>
      <c r="O29" s="21">
        <f>'Hypothèses de coûts'!K5*12</f>
        <v>60000</v>
      </c>
      <c r="P29" s="21">
        <f>'Hypothèses de coûts'!L5*12</f>
        <v>60000</v>
      </c>
      <c r="Q29" s="21">
        <f>'Hypothèses de coûts'!M5*12</f>
        <v>60000</v>
      </c>
    </row>
    <row r="30" spans="2:17" ht="15.75" hidden="1" outlineLevel="1" x14ac:dyDescent="0.5">
      <c r="B30" s="16"/>
      <c r="C30" s="17" t="s">
        <v>15</v>
      </c>
      <c r="E30" s="23"/>
      <c r="F30" s="22"/>
      <c r="G30" s="23"/>
      <c r="H30" s="21">
        <f>'Hypothèses de coûts'!D6*'Hypothèses de coûts'!D5</f>
        <v>2500</v>
      </c>
      <c r="I30" s="21">
        <f>'Hypothèses de coûts'!E6*'Hypothèses de coûts'!E5</f>
        <v>3500</v>
      </c>
      <c r="J30" s="21">
        <f>'Hypothèses de coûts'!F6*'Hypothèses de coûts'!F5</f>
        <v>5000</v>
      </c>
      <c r="K30" s="21">
        <f>'Hypothèses de coûts'!G6*'Hypothèses de coûts'!G5</f>
        <v>5000</v>
      </c>
      <c r="L30" s="21">
        <f>'Hypothèses de coûts'!H6*'Hypothèses de coûts'!H5</f>
        <v>5000</v>
      </c>
      <c r="M30" s="21">
        <f>'Hypothèses de coûts'!I6*'Hypothèses de coûts'!I5</f>
        <v>5000</v>
      </c>
      <c r="N30" s="21">
        <f>'Hypothèses de coûts'!J6*'Hypothèses de coûts'!J5</f>
        <v>5000</v>
      </c>
      <c r="O30" s="21">
        <f>'Hypothèses de coûts'!K6*'Hypothèses de coûts'!K5</f>
        <v>5000</v>
      </c>
      <c r="P30" s="21">
        <f>'Hypothèses de coûts'!L6*'Hypothèses de coûts'!L5</f>
        <v>5000</v>
      </c>
      <c r="Q30" s="21">
        <f>'Hypothèses de coûts'!M6*'Hypothèses de coûts'!M5</f>
        <v>5000</v>
      </c>
    </row>
    <row r="31" spans="2:17" ht="15.75" hidden="1" outlineLevel="1" x14ac:dyDescent="0.5">
      <c r="B31" s="16"/>
      <c r="C31" s="17" t="s">
        <v>16</v>
      </c>
      <c r="E31" s="23"/>
      <c r="F31" s="22"/>
      <c r="G31" s="23"/>
      <c r="H31" s="21">
        <f>'Hypothèses de coûts'!D7*'Hypothèses de coûts'!D5*12</f>
        <v>3000</v>
      </c>
      <c r="I31" s="21">
        <f>'Hypothèses de coûts'!E7*'Hypothèses de coûts'!E5*12</f>
        <v>4200</v>
      </c>
      <c r="J31" s="21">
        <f>'Hypothèses de coûts'!F7*'Hypothèses de coûts'!F5*12</f>
        <v>6000</v>
      </c>
      <c r="K31" s="21">
        <f>'Hypothèses de coûts'!G7*'Hypothèses de coûts'!G5*12</f>
        <v>6000</v>
      </c>
      <c r="L31" s="21">
        <f>'Hypothèses de coûts'!H7*'Hypothèses de coûts'!H5*12</f>
        <v>6000</v>
      </c>
      <c r="M31" s="21">
        <f>'Hypothèses de coûts'!I7*'Hypothèses de coûts'!I5*12</f>
        <v>6000</v>
      </c>
      <c r="N31" s="21">
        <f>'Hypothèses de coûts'!J7*'Hypothèses de coûts'!J5*12</f>
        <v>6000</v>
      </c>
      <c r="O31" s="21">
        <f>'Hypothèses de coûts'!K7*'Hypothèses de coûts'!K5*12</f>
        <v>6000</v>
      </c>
      <c r="P31" s="21">
        <f>'Hypothèses de coûts'!L7*'Hypothèses de coûts'!L5*12</f>
        <v>6000</v>
      </c>
      <c r="Q31" s="21">
        <f>'Hypothèses de coûts'!M7*'Hypothèses de coûts'!M5*12</f>
        <v>6000</v>
      </c>
    </row>
    <row r="32" spans="2:17" ht="15.75" hidden="1" outlineLevel="1" x14ac:dyDescent="0.5">
      <c r="B32" s="16"/>
      <c r="C32" s="17"/>
      <c r="E32" s="23"/>
      <c r="F32" s="22"/>
      <c r="G32" s="23"/>
      <c r="H32" s="21"/>
      <c r="I32" s="22"/>
      <c r="J32" s="21"/>
      <c r="K32" s="22"/>
      <c r="L32" s="21"/>
      <c r="M32" s="21"/>
      <c r="N32" s="21"/>
      <c r="O32" s="21"/>
      <c r="P32" s="21"/>
      <c r="Q32" s="21"/>
    </row>
    <row r="33" spans="2:17" ht="15.75" collapsed="1" x14ac:dyDescent="0.5">
      <c r="B33" s="22"/>
      <c r="C33" s="42"/>
      <c r="D33" s="22"/>
      <c r="E33" s="23"/>
      <c r="F33" s="22"/>
      <c r="G33" s="18" t="s">
        <v>17</v>
      </c>
      <c r="H33" s="43">
        <f t="shared" ref="H33:Q33" si="6">SUM(H29:H31)</f>
        <v>35500</v>
      </c>
      <c r="I33" s="43">
        <f t="shared" si="6"/>
        <v>49700</v>
      </c>
      <c r="J33" s="43">
        <f t="shared" si="6"/>
        <v>71000</v>
      </c>
      <c r="K33" s="43">
        <f t="shared" si="6"/>
        <v>71000</v>
      </c>
      <c r="L33" s="43">
        <f t="shared" si="6"/>
        <v>71000</v>
      </c>
      <c r="M33" s="43">
        <f t="shared" si="6"/>
        <v>71000</v>
      </c>
      <c r="N33" s="43">
        <f t="shared" si="6"/>
        <v>71000</v>
      </c>
      <c r="O33" s="43">
        <f t="shared" si="6"/>
        <v>71000</v>
      </c>
      <c r="P33" s="43">
        <f t="shared" si="6"/>
        <v>71000</v>
      </c>
      <c r="Q33" s="43">
        <f t="shared" si="6"/>
        <v>71000</v>
      </c>
    </row>
    <row r="34" spans="2:17" ht="15.75" x14ac:dyDescent="0.5">
      <c r="B34" s="16"/>
      <c r="C34" s="17"/>
      <c r="E34" s="23"/>
      <c r="F34" s="22"/>
      <c r="G34" s="23"/>
      <c r="H34" s="21"/>
      <c r="I34" s="22"/>
      <c r="J34" s="21"/>
      <c r="K34" s="22"/>
      <c r="L34" s="21"/>
      <c r="M34" s="21"/>
      <c r="N34" s="21"/>
      <c r="O34" s="21"/>
      <c r="P34" s="21"/>
      <c r="Q34" s="21"/>
    </row>
    <row r="35" spans="2:17" ht="15.75" hidden="1" outlineLevel="1" x14ac:dyDescent="0.5">
      <c r="B35" s="16"/>
      <c r="C35" s="17" t="str">
        <f>'Hypothèses de recrutement'!C5</f>
        <v>Ingénieur 1</v>
      </c>
      <c r="D35" s="22"/>
      <c r="E35" s="23"/>
      <c r="F35" s="22"/>
      <c r="G35" s="23"/>
      <c r="H35" s="21">
        <f>'Hypothèses de recrutement'!G5</f>
        <v>34400</v>
      </c>
      <c r="I35" s="21">
        <f>'Hypothèses de recrutement'!H5</f>
        <v>53148</v>
      </c>
      <c r="J35" s="21">
        <f>'Hypothèses de recrutement'!I5</f>
        <v>54696</v>
      </c>
      <c r="K35" s="21">
        <f>'Hypothèses de recrutement'!J5</f>
        <v>56244.000000000007</v>
      </c>
      <c r="L35" s="21">
        <f>'Hypothèses de recrutement'!K5</f>
        <v>57792.000000000007</v>
      </c>
      <c r="M35" s="21">
        <f>'Hypothèses de recrutement'!L5</f>
        <v>59339.999999999993</v>
      </c>
      <c r="N35" s="21">
        <f>'Hypothèses de recrutement'!M5</f>
        <v>60371.999999999993</v>
      </c>
      <c r="O35" s="21">
        <f>'Hypothèses de recrutement'!N5</f>
        <v>61404</v>
      </c>
      <c r="P35" s="21">
        <f>'Hypothèses de recrutement'!O5</f>
        <v>61920</v>
      </c>
      <c r="Q35" s="21">
        <f>'Hypothèses de recrutement'!P5</f>
        <v>62436</v>
      </c>
    </row>
    <row r="36" spans="2:17" ht="15.75" hidden="1" outlineLevel="1" x14ac:dyDescent="0.5">
      <c r="B36" s="22"/>
      <c r="C36" s="17" t="str">
        <f>'Hypothèses de recrutement'!C6</f>
        <v>Fonction support 1</v>
      </c>
      <c r="D36" s="22"/>
      <c r="E36" s="23"/>
      <c r="F36" s="22"/>
      <c r="G36" s="23"/>
      <c r="H36" s="21">
        <f>'Hypothèses de recrutement'!G6</f>
        <v>23200</v>
      </c>
      <c r="I36" s="21">
        <f>'Hypothèses de recrutement'!H6</f>
        <v>35844</v>
      </c>
      <c r="J36" s="21">
        <f>'Hypothèses de recrutement'!I6</f>
        <v>36888</v>
      </c>
      <c r="K36" s="21">
        <f>'Hypothèses de recrutement'!J6</f>
        <v>37932</v>
      </c>
      <c r="L36" s="21">
        <f>'Hypothèses de recrutement'!K6</f>
        <v>38976.000000000007</v>
      </c>
      <c r="M36" s="21">
        <f>'Hypothèses de recrutement'!L6</f>
        <v>40020</v>
      </c>
      <c r="N36" s="21">
        <f>'Hypothèses de recrutement'!M6</f>
        <v>40716</v>
      </c>
      <c r="O36" s="21">
        <f>'Hypothèses de recrutement'!N6</f>
        <v>41412</v>
      </c>
      <c r="P36" s="21">
        <f>'Hypothèses de recrutement'!O6</f>
        <v>41760</v>
      </c>
      <c r="Q36" s="21">
        <f>'Hypothèses de recrutement'!P6</f>
        <v>42108</v>
      </c>
    </row>
    <row r="37" spans="2:17" ht="15.75" hidden="1" outlineLevel="1" x14ac:dyDescent="0.5">
      <c r="B37" s="22"/>
      <c r="C37" s="17" t="str">
        <f>'Hypothèses de recrutement'!C7</f>
        <v>CTO data scientist</v>
      </c>
      <c r="D37" s="22"/>
      <c r="E37" s="23"/>
      <c r="F37" s="22"/>
      <c r="G37" s="23"/>
      <c r="H37" s="21">
        <f>'Hypothèses de recrutement'!G7</f>
        <v>56000</v>
      </c>
      <c r="I37" s="21">
        <f>'Hypothèses de recrutement'!H7</f>
        <v>86520</v>
      </c>
      <c r="J37" s="21">
        <f>'Hypothèses de recrutement'!I7</f>
        <v>89040</v>
      </c>
      <c r="K37" s="21">
        <f>'Hypothèses de recrutement'!J7</f>
        <v>91560</v>
      </c>
      <c r="L37" s="21">
        <f>'Hypothèses de recrutement'!K7</f>
        <v>94080.000000000015</v>
      </c>
      <c r="M37" s="21">
        <f>'Hypothèses de recrutement'!L7</f>
        <v>96599.999999999985</v>
      </c>
      <c r="N37" s="21">
        <f>'Hypothèses de recrutement'!M7</f>
        <v>98280</v>
      </c>
      <c r="O37" s="21">
        <f>'Hypothèses de recrutement'!N7</f>
        <v>99960</v>
      </c>
      <c r="P37" s="21">
        <f>'Hypothèses de recrutement'!O7</f>
        <v>100800</v>
      </c>
      <c r="Q37" s="21">
        <f>'Hypothèses de recrutement'!P7</f>
        <v>101640</v>
      </c>
    </row>
    <row r="38" spans="2:17" ht="15.75" hidden="1" outlineLevel="1" x14ac:dyDescent="0.5">
      <c r="B38" s="22"/>
      <c r="C38" s="17" t="str">
        <f>'Hypothèses de recrutement'!C8</f>
        <v>Recherche et innovation</v>
      </c>
      <c r="D38" s="22"/>
      <c r="E38" s="23"/>
      <c r="F38" s="22"/>
      <c r="G38" s="23"/>
      <c r="H38" s="21">
        <f>'Hypothèses de recrutement'!G8</f>
        <v>34400</v>
      </c>
      <c r="I38" s="21">
        <f>'Hypothèses de recrutement'!H8</f>
        <v>53148</v>
      </c>
      <c r="J38" s="21">
        <f>'Hypothèses de recrutement'!I8</f>
        <v>54696</v>
      </c>
      <c r="K38" s="21">
        <f>'Hypothèses de recrutement'!J8</f>
        <v>56244.000000000007</v>
      </c>
      <c r="L38" s="21">
        <f>'Hypothèses de recrutement'!K8</f>
        <v>57792.000000000007</v>
      </c>
      <c r="M38" s="21">
        <f>'Hypothèses de recrutement'!L8</f>
        <v>59339.999999999993</v>
      </c>
      <c r="N38" s="21">
        <f>'Hypothèses de recrutement'!M8</f>
        <v>60371.999999999993</v>
      </c>
      <c r="O38" s="21">
        <f>'Hypothèses de recrutement'!N8</f>
        <v>61404</v>
      </c>
      <c r="P38" s="21">
        <f>'Hypothèses de recrutement'!O8</f>
        <v>61920</v>
      </c>
      <c r="Q38" s="21">
        <f>'Hypothèses de recrutement'!P8</f>
        <v>62436</v>
      </c>
    </row>
    <row r="39" spans="2:17" ht="15.75" hidden="1" outlineLevel="1" x14ac:dyDescent="0.5">
      <c r="B39" s="22"/>
      <c r="C39" s="17" t="str">
        <f>'Hypothèses de recrutement'!C9</f>
        <v>Data scientist 1</v>
      </c>
      <c r="D39" s="22"/>
      <c r="E39" s="23"/>
      <c r="F39" s="22"/>
      <c r="G39" s="23"/>
      <c r="H39" s="21">
        <f>'Hypothèses de recrutement'!G9</f>
        <v>0</v>
      </c>
      <c r="I39" s="21">
        <f>'Hypothèses de recrutement'!H9</f>
        <v>35432</v>
      </c>
      <c r="J39" s="21">
        <f>'Hypothèses de recrutement'!I9</f>
        <v>54696</v>
      </c>
      <c r="K39" s="21">
        <f>'Hypothèses de recrutement'!J9</f>
        <v>56244.000000000007</v>
      </c>
      <c r="L39" s="21">
        <f>'Hypothèses de recrutement'!K9</f>
        <v>57792.000000000007</v>
      </c>
      <c r="M39" s="21">
        <f>'Hypothèses de recrutement'!L9</f>
        <v>59339.999999999993</v>
      </c>
      <c r="N39" s="21">
        <f>'Hypothèses de recrutement'!M9</f>
        <v>60371.999999999993</v>
      </c>
      <c r="O39" s="21">
        <f>'Hypothèses de recrutement'!N9</f>
        <v>61404</v>
      </c>
      <c r="P39" s="21">
        <f>'Hypothèses de recrutement'!O9</f>
        <v>61920</v>
      </c>
      <c r="Q39" s="21">
        <f>'Hypothèses de recrutement'!P9</f>
        <v>62436</v>
      </c>
    </row>
    <row r="40" spans="2:17" ht="15.75" hidden="1" outlineLevel="1" x14ac:dyDescent="0.5">
      <c r="B40" s="22"/>
      <c r="C40" s="17" t="str">
        <f>'Hypothèses de recrutement'!C10</f>
        <v>Dev + community manager 1</v>
      </c>
      <c r="D40" s="22"/>
      <c r="E40" s="23"/>
      <c r="F40" s="22"/>
      <c r="G40" s="23"/>
      <c r="H40" s="21">
        <f>'Hypothèses de recrutement'!G10</f>
        <v>0</v>
      </c>
      <c r="I40" s="21">
        <f>'Hypothèses de recrutement'!H10</f>
        <v>32136</v>
      </c>
      <c r="J40" s="21">
        <f>'Hypothèses de recrutement'!I10</f>
        <v>49608</v>
      </c>
      <c r="K40" s="21">
        <f>'Hypothèses de recrutement'!J10</f>
        <v>51012.000000000007</v>
      </c>
      <c r="L40" s="21">
        <f>'Hypothèses de recrutement'!K10</f>
        <v>52416.000000000007</v>
      </c>
      <c r="M40" s="21">
        <f>'Hypothèses de recrutement'!L10</f>
        <v>53819.999999999993</v>
      </c>
      <c r="N40" s="21">
        <f>'Hypothèses de recrutement'!M10</f>
        <v>54756</v>
      </c>
      <c r="O40" s="21">
        <f>'Hypothèses de recrutement'!N10</f>
        <v>55692</v>
      </c>
      <c r="P40" s="21">
        <f>'Hypothèses de recrutement'!O10</f>
        <v>56160</v>
      </c>
      <c r="Q40" s="21">
        <f>'Hypothèses de recrutement'!P10</f>
        <v>56628</v>
      </c>
    </row>
    <row r="41" spans="2:17" ht="15.75" hidden="1" outlineLevel="1" x14ac:dyDescent="0.5">
      <c r="B41" s="16"/>
      <c r="C41" s="17" t="str">
        <f>'Hypothèses de recrutement'!C11</f>
        <v>Ingénieur 2</v>
      </c>
      <c r="D41" s="22"/>
      <c r="E41" s="23"/>
      <c r="F41" s="22"/>
      <c r="G41" s="23"/>
      <c r="H41" s="21">
        <f>'Hypothèses de recrutement'!G11</f>
        <v>25800</v>
      </c>
      <c r="I41" s="21">
        <f>'Hypothèses de recrutement'!H11</f>
        <v>53148</v>
      </c>
      <c r="J41" s="21">
        <f>'Hypothèses de recrutement'!I11</f>
        <v>54696</v>
      </c>
      <c r="K41" s="21">
        <f>'Hypothèses de recrutement'!J11</f>
        <v>56244.000000000007</v>
      </c>
      <c r="L41" s="21">
        <f>'Hypothèses de recrutement'!K11</f>
        <v>57792.000000000007</v>
      </c>
      <c r="M41" s="21">
        <f>'Hypothèses de recrutement'!L11</f>
        <v>59339.999999999993</v>
      </c>
      <c r="N41" s="21">
        <f>'Hypothèses de recrutement'!M11</f>
        <v>60371.999999999993</v>
      </c>
      <c r="O41" s="21">
        <f>'Hypothèses de recrutement'!N11</f>
        <v>61404</v>
      </c>
      <c r="P41" s="21">
        <f>'Hypothèses de recrutement'!O11</f>
        <v>61920</v>
      </c>
      <c r="Q41" s="21">
        <f>'Hypothèses de recrutement'!P11</f>
        <v>62436</v>
      </c>
    </row>
    <row r="42" spans="2:17" ht="15.75" hidden="1" outlineLevel="1" x14ac:dyDescent="0.5">
      <c r="B42" s="22"/>
      <c r="C42" s="17" t="str">
        <f>'Hypothèses de recrutement'!C12</f>
        <v>Ingénieur 3</v>
      </c>
      <c r="D42" s="22"/>
      <c r="E42" s="23"/>
      <c r="F42" s="22"/>
      <c r="G42" s="23"/>
      <c r="H42" s="21">
        <f>'Hypothèses de recrutement'!G12</f>
        <v>0</v>
      </c>
      <c r="I42" s="21">
        <f>'Hypothèses de recrutement'!H12</f>
        <v>0</v>
      </c>
      <c r="J42" s="21">
        <f>'Hypothèses de recrutement'!I12</f>
        <v>13674</v>
      </c>
      <c r="K42" s="21">
        <f>'Hypothèses de recrutement'!J12</f>
        <v>56244.000000000007</v>
      </c>
      <c r="L42" s="21">
        <f>'Hypothèses de recrutement'!K12</f>
        <v>57792.000000000007</v>
      </c>
      <c r="M42" s="21">
        <f>'Hypothèses de recrutement'!L12</f>
        <v>59339.999999999993</v>
      </c>
      <c r="N42" s="21">
        <f>'Hypothèses de recrutement'!M12</f>
        <v>60371.999999999993</v>
      </c>
      <c r="O42" s="21">
        <f>'Hypothèses de recrutement'!N12</f>
        <v>61404</v>
      </c>
      <c r="P42" s="21">
        <f>'Hypothèses de recrutement'!O12</f>
        <v>61920</v>
      </c>
      <c r="Q42" s="21">
        <f>'Hypothèses de recrutement'!P12</f>
        <v>62436</v>
      </c>
    </row>
    <row r="43" spans="2:17" ht="15.75" hidden="1" outlineLevel="1" x14ac:dyDescent="0.5">
      <c r="B43" s="22"/>
      <c r="C43" s="17" t="str">
        <f>'Hypothèses de recrutement'!C13</f>
        <v>Ingénieur technico-commercial 1</v>
      </c>
      <c r="D43" s="22"/>
      <c r="E43" s="23"/>
      <c r="F43" s="22"/>
      <c r="G43" s="23"/>
      <c r="H43" s="21">
        <f>'Hypothèses de recrutement'!G13</f>
        <v>0</v>
      </c>
      <c r="I43" s="21">
        <f>'Hypothèses de recrutement'!H13</f>
        <v>39655</v>
      </c>
      <c r="J43" s="21">
        <f>'Hypothèses de recrutement'!I13</f>
        <v>44520</v>
      </c>
      <c r="K43" s="21">
        <f>'Hypothèses de recrutement'!J13</f>
        <v>45780</v>
      </c>
      <c r="L43" s="21">
        <f>'Hypothèses de recrutement'!K13</f>
        <v>47040.000000000007</v>
      </c>
      <c r="M43" s="21">
        <f>'Hypothèses de recrutement'!L13</f>
        <v>48299.999999999993</v>
      </c>
      <c r="N43" s="21">
        <f>'Hypothèses de recrutement'!M13</f>
        <v>49140</v>
      </c>
      <c r="O43" s="21">
        <f>'Hypothèses de recrutement'!N13</f>
        <v>49980</v>
      </c>
      <c r="P43" s="21">
        <f>'Hypothèses de recrutement'!O13</f>
        <v>50400</v>
      </c>
      <c r="Q43" s="21">
        <f>'Hypothèses de recrutement'!P13</f>
        <v>50820</v>
      </c>
    </row>
    <row r="44" spans="2:17" ht="15.75" hidden="1" outlineLevel="1" x14ac:dyDescent="0.5">
      <c r="B44" s="22"/>
      <c r="C44" s="17" t="str">
        <f>'Hypothèses de recrutement'!C14</f>
        <v>Ingrid Vaileanu</v>
      </c>
      <c r="D44" s="22"/>
      <c r="E44" s="23"/>
      <c r="F44" s="22"/>
      <c r="G44" s="23"/>
      <c r="H44" s="21">
        <f>'Hypothèses de recrutement'!G14</f>
        <v>31200</v>
      </c>
      <c r="I44" s="21">
        <f>'Hypothèses de recrutement'!H14</f>
        <v>64272</v>
      </c>
      <c r="J44" s="21">
        <f>'Hypothèses de recrutement'!I14</f>
        <v>66144</v>
      </c>
      <c r="K44" s="21">
        <f>'Hypothèses de recrutement'!J14</f>
        <v>68016</v>
      </c>
      <c r="L44" s="21">
        <f>'Hypothèses de recrutement'!K14</f>
        <v>69888</v>
      </c>
      <c r="M44" s="21">
        <f>'Hypothèses de recrutement'!L14</f>
        <v>71760</v>
      </c>
      <c r="N44" s="21">
        <f>'Hypothèses de recrutement'!M14</f>
        <v>73008</v>
      </c>
      <c r="O44" s="21">
        <f>'Hypothèses de recrutement'!N14</f>
        <v>74256</v>
      </c>
      <c r="P44" s="21">
        <f>'Hypothèses de recrutement'!O14</f>
        <v>74880</v>
      </c>
      <c r="Q44" s="21">
        <f>'Hypothèses de recrutement'!P14</f>
        <v>75504</v>
      </c>
    </row>
    <row r="45" spans="2:17" ht="15.75" hidden="1" outlineLevel="1" x14ac:dyDescent="0.5">
      <c r="B45" s="16"/>
      <c r="C45" s="17" t="str">
        <f>'Hypothèses de recrutement'!C15</f>
        <v>Dev + community manager</v>
      </c>
      <c r="D45" s="22"/>
      <c r="E45" s="23"/>
      <c r="F45" s="22"/>
      <c r="G45" s="23"/>
      <c r="H45" s="21">
        <f>'Hypothèses de recrutement'!G15</f>
        <v>0</v>
      </c>
      <c r="I45" s="21">
        <f>'Hypothèses de recrutement'!H15</f>
        <v>0</v>
      </c>
      <c r="J45" s="21">
        <f>'Hypothèses de recrutement'!I15</f>
        <v>0</v>
      </c>
      <c r="K45" s="21">
        <f>'Hypothèses de recrutement'!J15</f>
        <v>0</v>
      </c>
      <c r="L45" s="21">
        <f>'Hypothèses de recrutement'!K15</f>
        <v>39312.000000000007</v>
      </c>
      <c r="M45" s="21">
        <f>'Hypothèses de recrutement'!L15</f>
        <v>53819.999999999993</v>
      </c>
      <c r="N45" s="21">
        <f>'Hypothèses de recrutement'!M15</f>
        <v>54756</v>
      </c>
      <c r="O45" s="21">
        <f>'Hypothèses de recrutement'!N15</f>
        <v>55692</v>
      </c>
      <c r="P45" s="21">
        <f>'Hypothèses de recrutement'!O15</f>
        <v>56160</v>
      </c>
      <c r="Q45" s="21">
        <f>'Hypothèses de recrutement'!P15</f>
        <v>56628</v>
      </c>
    </row>
    <row r="46" spans="2:17" ht="15.75" hidden="1" outlineLevel="1" x14ac:dyDescent="0.5">
      <c r="B46" s="22"/>
      <c r="C46" s="17" t="str">
        <f>'Hypothèses de recrutement'!C16</f>
        <v>Doctorant (thèse)</v>
      </c>
      <c r="D46" s="22"/>
      <c r="E46" s="23"/>
      <c r="F46" s="22"/>
      <c r="G46" s="23"/>
      <c r="H46" s="21">
        <f>'Hypothèses de recrutement'!G16</f>
        <v>0</v>
      </c>
      <c r="I46" s="21">
        <f>'Hypothèses de recrutement'!H16</f>
        <v>27810</v>
      </c>
      <c r="J46" s="21">
        <f>'Hypothèses de recrutement'!I16</f>
        <v>38160</v>
      </c>
      <c r="K46" s="21">
        <f>'Hypothèses de recrutement'!J16</f>
        <v>39240</v>
      </c>
      <c r="L46" s="21">
        <f>'Hypothèses de recrutement'!K16</f>
        <v>40320.000000000007</v>
      </c>
      <c r="M46" s="21">
        <f>'Hypothèses de recrutement'!L16</f>
        <v>41400</v>
      </c>
      <c r="N46" s="21">
        <f>'Hypothèses de recrutement'!M16</f>
        <v>42120</v>
      </c>
      <c r="O46" s="21">
        <f>'Hypothèses de recrutement'!N16</f>
        <v>42840</v>
      </c>
      <c r="P46" s="21">
        <f>'Hypothèses de recrutement'!O16</f>
        <v>43200</v>
      </c>
      <c r="Q46" s="21">
        <f>'Hypothèses de recrutement'!P16</f>
        <v>43560</v>
      </c>
    </row>
    <row r="47" spans="2:17" ht="15.75" hidden="1" outlineLevel="1" x14ac:dyDescent="0.5">
      <c r="B47" s="22"/>
      <c r="C47" s="17" t="str">
        <f>'Hypothèses de recrutement'!C17</f>
        <v>Post doc 1</v>
      </c>
      <c r="D47" s="22"/>
      <c r="E47" s="23"/>
      <c r="F47" s="22"/>
      <c r="G47" s="23"/>
      <c r="H47" s="21">
        <f>'Hypothèses de recrutement'!G17</f>
        <v>0</v>
      </c>
      <c r="I47" s="21">
        <f>'Hypothèses de recrutement'!H17</f>
        <v>0</v>
      </c>
      <c r="J47" s="21">
        <f>'Hypothèses de recrutement'!I17</f>
        <v>41022</v>
      </c>
      <c r="K47" s="21">
        <f>'Hypothèses de recrutement'!J17</f>
        <v>56244.000000000007</v>
      </c>
      <c r="L47" s="21">
        <f>'Hypothèses de recrutement'!K17</f>
        <v>57792.000000000007</v>
      </c>
      <c r="M47" s="21">
        <f>'Hypothèses de recrutement'!L17</f>
        <v>59339.999999999993</v>
      </c>
      <c r="N47" s="21">
        <f>'Hypothèses de recrutement'!M17</f>
        <v>60371.999999999993</v>
      </c>
      <c r="O47" s="21">
        <f>'Hypothèses de recrutement'!N17</f>
        <v>61404</v>
      </c>
      <c r="P47" s="21">
        <f>'Hypothèses de recrutement'!O17</f>
        <v>61920</v>
      </c>
      <c r="Q47" s="21">
        <f>'Hypothèses de recrutement'!P17</f>
        <v>62436</v>
      </c>
    </row>
    <row r="48" spans="2:17" ht="15.75" hidden="1" outlineLevel="1" x14ac:dyDescent="0.5">
      <c r="B48" s="22"/>
      <c r="C48" s="17" t="str">
        <f>'Hypothèses de recrutement'!C18</f>
        <v>Post doc 2</v>
      </c>
      <c r="D48" s="22"/>
      <c r="E48" s="23"/>
      <c r="F48" s="22"/>
      <c r="G48" s="23"/>
      <c r="H48" s="21">
        <f>'Hypothèses de recrutement'!G18</f>
        <v>0</v>
      </c>
      <c r="I48" s="21">
        <f>'Hypothèses de recrutement'!H18</f>
        <v>0</v>
      </c>
      <c r="J48" s="21">
        <f>'Hypothèses de recrutement'!I18</f>
        <v>0</v>
      </c>
      <c r="K48" s="21">
        <f>'Hypothèses de recrutement'!J18</f>
        <v>42183</v>
      </c>
      <c r="L48" s="21">
        <f>'Hypothèses de recrutement'!K18</f>
        <v>57792.000000000007</v>
      </c>
      <c r="M48" s="21">
        <f>'Hypothèses de recrutement'!L18</f>
        <v>59339.999999999993</v>
      </c>
      <c r="N48" s="21">
        <f>'Hypothèses de recrutement'!M18</f>
        <v>60371.999999999993</v>
      </c>
      <c r="O48" s="21">
        <f>'Hypothèses de recrutement'!N18</f>
        <v>61404</v>
      </c>
      <c r="P48" s="21">
        <f>'Hypothèses de recrutement'!O18</f>
        <v>61920</v>
      </c>
      <c r="Q48" s="21">
        <f>'Hypothèses de recrutement'!P18</f>
        <v>62436</v>
      </c>
    </row>
    <row r="49" spans="2:17" ht="15.75" hidden="1" outlineLevel="1" x14ac:dyDescent="0.5">
      <c r="B49" s="22"/>
      <c r="C49" s="17" t="str">
        <f>'Hypothèses de recrutement'!C19</f>
        <v>Resp études transition num. RSE</v>
      </c>
      <c r="D49" s="22"/>
      <c r="E49" s="23"/>
      <c r="F49" s="22"/>
      <c r="G49" s="23"/>
      <c r="H49" s="21">
        <f>'Hypothèses de recrutement'!G19</f>
        <v>0</v>
      </c>
      <c r="I49" s="21">
        <f>'Hypothèses de recrutement'!H19</f>
        <v>34299</v>
      </c>
      <c r="J49" s="21">
        <f>'Hypothèses de recrutement'!I19</f>
        <v>47064</v>
      </c>
      <c r="K49" s="21">
        <f>'Hypothèses de recrutement'!J19</f>
        <v>48396</v>
      </c>
      <c r="L49" s="21">
        <f>'Hypothèses de recrutement'!K19</f>
        <v>49728.000000000007</v>
      </c>
      <c r="M49" s="21">
        <f>'Hypothèses de recrutement'!L19</f>
        <v>51059.999999999993</v>
      </c>
      <c r="N49" s="21">
        <f>'Hypothèses de recrutement'!M19</f>
        <v>51948</v>
      </c>
      <c r="O49" s="21">
        <f>'Hypothèses de recrutement'!N19</f>
        <v>52836</v>
      </c>
      <c r="P49" s="21">
        <f>'Hypothèses de recrutement'!O19</f>
        <v>53280</v>
      </c>
      <c r="Q49" s="21">
        <f>'Hypothèses de recrutement'!P19</f>
        <v>53724</v>
      </c>
    </row>
    <row r="50" spans="2:17" ht="15.75" hidden="1" outlineLevel="1" x14ac:dyDescent="0.5">
      <c r="B50" s="22"/>
      <c r="C50" s="17" t="str">
        <f>'Hypothèses de recrutement'!C20</f>
        <v>Resp études expé - transitions num.</v>
      </c>
      <c r="D50" s="22"/>
      <c r="E50" s="23"/>
      <c r="F50" s="22"/>
      <c r="G50" s="23"/>
      <c r="H50" s="21">
        <f>'Hypothèses de recrutement'!G20</f>
        <v>0</v>
      </c>
      <c r="I50" s="21">
        <f>'Hypothèses de recrutement'!H20</f>
        <v>34299</v>
      </c>
      <c r="J50" s="21">
        <f>'Hypothèses de recrutement'!I20</f>
        <v>47064</v>
      </c>
      <c r="K50" s="21">
        <f>'Hypothèses de recrutement'!J20</f>
        <v>48396</v>
      </c>
      <c r="L50" s="21">
        <f>'Hypothèses de recrutement'!K20</f>
        <v>49728.000000000007</v>
      </c>
      <c r="M50" s="21">
        <f>'Hypothèses de recrutement'!L20</f>
        <v>51059.999999999993</v>
      </c>
      <c r="N50" s="21">
        <f>'Hypothèses de recrutement'!M20</f>
        <v>51948</v>
      </c>
      <c r="O50" s="21">
        <f>'Hypothèses de recrutement'!N20</f>
        <v>52836</v>
      </c>
      <c r="P50" s="21">
        <f>'Hypothèses de recrutement'!O20</f>
        <v>53280</v>
      </c>
      <c r="Q50" s="21">
        <f>'Hypothèses de recrutement'!P20</f>
        <v>53724</v>
      </c>
    </row>
    <row r="51" spans="2:17" ht="15.75" hidden="1" outlineLevel="1" x14ac:dyDescent="0.5">
      <c r="B51" s="16"/>
      <c r="C51" s="17" t="str">
        <f>'Hypothèses de recrutement'!C21</f>
        <v>Fonction support 2</v>
      </c>
      <c r="D51" s="22"/>
      <c r="E51" s="23"/>
      <c r="F51" s="22"/>
      <c r="G51" s="23"/>
      <c r="H51" s="21">
        <f>'Hypothèses de recrutement'!G21</f>
        <v>0</v>
      </c>
      <c r="I51" s="21">
        <f>'Hypothèses de recrutement'!H21</f>
        <v>0</v>
      </c>
      <c r="J51" s="21">
        <f>'Hypothèses de recrutement'!I21</f>
        <v>18444</v>
      </c>
      <c r="K51" s="21">
        <f>'Hypothèses de recrutement'!J21</f>
        <v>37932</v>
      </c>
      <c r="L51" s="21">
        <f>'Hypothèses de recrutement'!K21</f>
        <v>38976.000000000007</v>
      </c>
      <c r="M51" s="21">
        <f>'Hypothèses de recrutement'!L21</f>
        <v>40020</v>
      </c>
      <c r="N51" s="21">
        <f>'Hypothèses de recrutement'!M21</f>
        <v>40716</v>
      </c>
      <c r="O51" s="21">
        <f>'Hypothèses de recrutement'!N21</f>
        <v>41412</v>
      </c>
      <c r="P51" s="21">
        <f>'Hypothèses de recrutement'!O21</f>
        <v>41760</v>
      </c>
      <c r="Q51" s="21">
        <f>'Hypothèses de recrutement'!P21</f>
        <v>42108</v>
      </c>
    </row>
    <row r="52" spans="2:17" ht="15.75" hidden="1" outlineLevel="1" x14ac:dyDescent="0.5">
      <c r="B52" s="22"/>
      <c r="C52" s="17" t="str">
        <f>'Hypothèses de recrutement'!C22</f>
        <v>Fonction support 3</v>
      </c>
      <c r="D52" s="22"/>
      <c r="E52" s="23"/>
      <c r="F52" s="22"/>
      <c r="G52" s="23"/>
      <c r="H52" s="21">
        <f>'Hypothèses de recrutement'!G22</f>
        <v>0</v>
      </c>
      <c r="I52" s="21">
        <f>'Hypothèses de recrutement'!H22</f>
        <v>0</v>
      </c>
      <c r="J52" s="21">
        <f>'Hypothèses de recrutement'!I22</f>
        <v>0</v>
      </c>
      <c r="K52" s="21">
        <f>'Hypothèses de recrutement'!J22</f>
        <v>0</v>
      </c>
      <c r="L52" s="21">
        <f>'Hypothèses de recrutement'!K22</f>
        <v>0</v>
      </c>
      <c r="M52" s="21">
        <f>'Hypothèses de recrutement'!L22</f>
        <v>0</v>
      </c>
      <c r="N52" s="21">
        <f>'Hypothèses de recrutement'!M22</f>
        <v>20358</v>
      </c>
      <c r="O52" s="21">
        <f>'Hypothèses de recrutement'!N22</f>
        <v>41412</v>
      </c>
      <c r="P52" s="21">
        <f>'Hypothèses de recrutement'!O22</f>
        <v>41760</v>
      </c>
      <c r="Q52" s="21">
        <f>'Hypothèses de recrutement'!P22</f>
        <v>42108</v>
      </c>
    </row>
    <row r="53" spans="2:17" ht="15.75" hidden="1" outlineLevel="1" x14ac:dyDescent="0.5">
      <c r="B53" s="22"/>
      <c r="C53" s="17" t="str">
        <f>'Hypothèses de recrutement'!C23</f>
        <v>Responsable projet</v>
      </c>
      <c r="D53" s="22"/>
      <c r="E53" s="23"/>
      <c r="F53" s="22"/>
      <c r="G53" s="23"/>
      <c r="H53" s="21">
        <f>'Hypothèses de recrutement'!G23</f>
        <v>0</v>
      </c>
      <c r="I53" s="21">
        <f>'Hypothèses de recrutement'!H23</f>
        <v>0</v>
      </c>
      <c r="J53" s="21">
        <f>'Hypothèses de recrutement'!I23</f>
        <v>35298</v>
      </c>
      <c r="K53" s="21">
        <f>'Hypothèses de recrutement'!J23</f>
        <v>48396</v>
      </c>
      <c r="L53" s="21">
        <f>'Hypothèses de recrutement'!K23</f>
        <v>49728.000000000007</v>
      </c>
      <c r="M53" s="21">
        <f>'Hypothèses de recrutement'!L23</f>
        <v>51059.999999999993</v>
      </c>
      <c r="N53" s="21">
        <f>'Hypothèses de recrutement'!M23</f>
        <v>51948</v>
      </c>
      <c r="O53" s="21">
        <f>'Hypothèses de recrutement'!N23</f>
        <v>52836</v>
      </c>
      <c r="P53" s="21">
        <f>'Hypothèses de recrutement'!O23</f>
        <v>53280</v>
      </c>
      <c r="Q53" s="21">
        <f>'Hypothèses de recrutement'!P23</f>
        <v>53724</v>
      </c>
    </row>
    <row r="54" spans="2:17" ht="15.75" hidden="1" outlineLevel="1" x14ac:dyDescent="0.5">
      <c r="B54" s="22"/>
      <c r="C54" s="17" t="str">
        <f>'Hypothèses de recrutement'!C24</f>
        <v>Data scientist 2</v>
      </c>
      <c r="D54" s="22"/>
      <c r="E54" s="23"/>
      <c r="F54" s="22"/>
      <c r="G54" s="23"/>
      <c r="H54" s="21">
        <f>'Hypothèses de recrutement'!G24</f>
        <v>0</v>
      </c>
      <c r="I54" s="21">
        <f>'Hypothèses de recrutement'!H24</f>
        <v>0</v>
      </c>
      <c r="J54" s="21">
        <f>'Hypothèses de recrutement'!I24</f>
        <v>0</v>
      </c>
      <c r="K54" s="21">
        <f>'Hypothèses de recrutement'!J24</f>
        <v>0</v>
      </c>
      <c r="L54" s="21">
        <f>'Hypothèses de recrutement'!K24</f>
        <v>43344.000000000007</v>
      </c>
      <c r="M54" s="21">
        <f>'Hypothèses de recrutement'!L24</f>
        <v>59339.999999999993</v>
      </c>
      <c r="N54" s="21">
        <f>'Hypothèses de recrutement'!M24</f>
        <v>60371.999999999993</v>
      </c>
      <c r="O54" s="21">
        <f>'Hypothèses de recrutement'!N24</f>
        <v>61404</v>
      </c>
      <c r="P54" s="21">
        <f>'Hypothèses de recrutement'!O24</f>
        <v>61920</v>
      </c>
      <c r="Q54" s="21">
        <f>'Hypothèses de recrutement'!P24</f>
        <v>62436</v>
      </c>
    </row>
    <row r="55" spans="2:17" ht="15.75" hidden="1" outlineLevel="1" x14ac:dyDescent="0.5">
      <c r="B55" s="22"/>
      <c r="C55" s="17" t="str">
        <f>'Hypothèses de recrutement'!C25</f>
        <v>Dev + community manager 2</v>
      </c>
      <c r="D55" s="22"/>
      <c r="E55" s="23"/>
      <c r="F55" s="22"/>
      <c r="G55" s="23"/>
      <c r="H55" s="21">
        <f>'Hypothèses de recrutement'!G25</f>
        <v>0</v>
      </c>
      <c r="I55" s="21">
        <f>'Hypothèses de recrutement'!H25</f>
        <v>0</v>
      </c>
      <c r="J55" s="21">
        <f>'Hypothèses de recrutement'!I25</f>
        <v>0</v>
      </c>
      <c r="K55" s="21">
        <f>'Hypothèses de recrutement'!J25</f>
        <v>0</v>
      </c>
      <c r="L55" s="21">
        <f>'Hypothèses de recrutement'!K25</f>
        <v>39312.000000000007</v>
      </c>
      <c r="M55" s="21">
        <f>'Hypothèses de recrutement'!L25</f>
        <v>53819.999999999993</v>
      </c>
      <c r="N55" s="21">
        <f>'Hypothèses de recrutement'!M25</f>
        <v>54756</v>
      </c>
      <c r="O55" s="21">
        <f>'Hypothèses de recrutement'!N25</f>
        <v>55692</v>
      </c>
      <c r="P55" s="21">
        <f>'Hypothèses de recrutement'!O25</f>
        <v>56160</v>
      </c>
      <c r="Q55" s="21">
        <f>'Hypothèses de recrutement'!P25</f>
        <v>56628</v>
      </c>
    </row>
    <row r="56" spans="2:17" ht="15.75" hidden="1" outlineLevel="1" x14ac:dyDescent="0.5">
      <c r="B56" s="22"/>
      <c r="C56" s="17" t="str">
        <f>'Hypothèses de recrutement'!C26</f>
        <v>Dev + community manager 3</v>
      </c>
      <c r="D56" s="22"/>
      <c r="E56" s="23"/>
      <c r="F56" s="22"/>
      <c r="G56" s="23"/>
      <c r="H56" s="21">
        <f>'Hypothèses de recrutement'!G26</f>
        <v>0</v>
      </c>
      <c r="I56" s="21">
        <f>'Hypothèses de recrutement'!H26</f>
        <v>0</v>
      </c>
      <c r="J56" s="21">
        <f>'Hypothèses de recrutement'!I26</f>
        <v>0</v>
      </c>
      <c r="K56" s="21">
        <f>'Hypothèses de recrutement'!J26</f>
        <v>0</v>
      </c>
      <c r="L56" s="21">
        <f>'Hypothèses de recrutement'!K26</f>
        <v>0</v>
      </c>
      <c r="M56" s="21">
        <f>'Hypothèses de recrutement'!L26</f>
        <v>0</v>
      </c>
      <c r="N56" s="21">
        <f>'Hypothèses de recrutement'!M26</f>
        <v>0</v>
      </c>
      <c r="O56" s="21">
        <f>'Hypothèses de recrutement'!N26</f>
        <v>41769</v>
      </c>
      <c r="P56" s="21">
        <f>'Hypothèses de recrutement'!O26</f>
        <v>56160</v>
      </c>
      <c r="Q56" s="21">
        <f>'Hypothèses de recrutement'!P26</f>
        <v>56628</v>
      </c>
    </row>
    <row r="57" spans="2:17" ht="15.75" hidden="1" outlineLevel="1" x14ac:dyDescent="0.5">
      <c r="B57" s="22"/>
      <c r="C57" s="17" t="str">
        <f>'Hypothèses de recrutement'!C27</f>
        <v>Ingénieur technico-commercial 2</v>
      </c>
      <c r="D57" s="22"/>
      <c r="E57" s="23"/>
      <c r="F57" s="22"/>
      <c r="G57" s="23"/>
      <c r="H57" s="21">
        <f>'Hypothèses de recrutement'!G27</f>
        <v>0</v>
      </c>
      <c r="I57" s="21">
        <f>'Hypothèses de recrutement'!H27</f>
        <v>0</v>
      </c>
      <c r="J57" s="21">
        <f>'Hypothèses de recrutement'!I27</f>
        <v>33390</v>
      </c>
      <c r="K57" s="21">
        <f>'Hypothèses de recrutement'!J27</f>
        <v>45780</v>
      </c>
      <c r="L57" s="21">
        <f>'Hypothèses de recrutement'!K27</f>
        <v>47040.000000000007</v>
      </c>
      <c r="M57" s="21">
        <f>'Hypothèses de recrutement'!L27</f>
        <v>48299.999999999993</v>
      </c>
      <c r="N57" s="21">
        <f>'Hypothèses de recrutement'!M27</f>
        <v>49140</v>
      </c>
      <c r="O57" s="21">
        <f>'Hypothèses de recrutement'!N27</f>
        <v>49980</v>
      </c>
      <c r="P57" s="21">
        <f>'Hypothèses de recrutement'!O27</f>
        <v>50400</v>
      </c>
      <c r="Q57" s="21">
        <f>'Hypothèses de recrutement'!P27</f>
        <v>50820</v>
      </c>
    </row>
    <row r="58" spans="2:17" ht="15.75" hidden="1" outlineLevel="1" x14ac:dyDescent="0.5">
      <c r="B58" s="16"/>
      <c r="C58" s="17" t="str">
        <f>'Hypothèses de recrutement'!C28</f>
        <v>Doctorant (thèse)</v>
      </c>
      <c r="D58" s="22"/>
      <c r="E58" s="23"/>
      <c r="F58" s="22"/>
      <c r="G58" s="23"/>
      <c r="H58" s="21">
        <f>'Hypothèses de recrutement'!G28</f>
        <v>0</v>
      </c>
      <c r="I58" s="21">
        <f>'Hypothèses de recrutement'!H28</f>
        <v>0</v>
      </c>
      <c r="J58" s="21">
        <f>'Hypothèses de recrutement'!I28</f>
        <v>0</v>
      </c>
      <c r="K58" s="21">
        <f>'Hypothèses de recrutement'!J28</f>
        <v>0</v>
      </c>
      <c r="L58" s="21">
        <f>'Hypothèses de recrutement'!K28</f>
        <v>0</v>
      </c>
      <c r="M58" s="21">
        <f>'Hypothèses de recrutement'!L28</f>
        <v>0</v>
      </c>
      <c r="N58" s="21">
        <f>'Hypothèses de recrutement'!M28</f>
        <v>0</v>
      </c>
      <c r="O58" s="21">
        <f>'Hypothèses de recrutement'!N28</f>
        <v>0</v>
      </c>
      <c r="P58" s="21">
        <f>'Hypothèses de recrutement'!O28</f>
        <v>32400</v>
      </c>
      <c r="Q58" s="21">
        <f>'Hypothèses de recrutement'!P28</f>
        <v>43560</v>
      </c>
    </row>
    <row r="59" spans="2:17" ht="15.75" hidden="1" outlineLevel="1" x14ac:dyDescent="0.5">
      <c r="B59" s="16"/>
      <c r="C59" s="17" t="str">
        <f>'Hypothèses de recrutement'!C29</f>
        <v>Post doc 3</v>
      </c>
      <c r="E59" s="23"/>
      <c r="F59" s="22"/>
      <c r="G59" s="23"/>
      <c r="H59" s="21">
        <f>'Hypothèses de recrutement'!G29</f>
        <v>0</v>
      </c>
      <c r="I59" s="21">
        <f>'Hypothèses de recrutement'!H29</f>
        <v>0</v>
      </c>
      <c r="J59" s="21">
        <f>'Hypothèses de recrutement'!I29</f>
        <v>0</v>
      </c>
      <c r="K59" s="21">
        <f>'Hypothèses de recrutement'!J29</f>
        <v>0</v>
      </c>
      <c r="L59" s="21">
        <f>'Hypothèses de recrutement'!K29</f>
        <v>0</v>
      </c>
      <c r="M59" s="21">
        <f>'Hypothèses de recrutement'!L29</f>
        <v>44505</v>
      </c>
      <c r="N59" s="21">
        <f>'Hypothèses de recrutement'!M29</f>
        <v>60371.999999999993</v>
      </c>
      <c r="O59" s="21">
        <f>'Hypothèses de recrutement'!N29</f>
        <v>61404</v>
      </c>
      <c r="P59" s="21">
        <f>'Hypothèses de recrutement'!O29</f>
        <v>61920</v>
      </c>
      <c r="Q59" s="21">
        <f>'Hypothèses de recrutement'!P29</f>
        <v>62436</v>
      </c>
    </row>
    <row r="60" spans="2:17" ht="15.75" hidden="1" outlineLevel="1" x14ac:dyDescent="0.5">
      <c r="B60" s="16"/>
      <c r="C60" s="17" t="str">
        <f>'Hypothèses de recrutement'!C30</f>
        <v>Post doc 4</v>
      </c>
      <c r="E60" s="23"/>
      <c r="F60" s="22"/>
      <c r="G60" s="23"/>
      <c r="H60" s="21">
        <f>'Hypothèses de recrutement'!G30</f>
        <v>0</v>
      </c>
      <c r="I60" s="21">
        <f>'Hypothèses de recrutement'!H30</f>
        <v>0</v>
      </c>
      <c r="J60" s="21">
        <f>'Hypothèses de recrutement'!I30</f>
        <v>0</v>
      </c>
      <c r="K60" s="21">
        <f>'Hypothèses de recrutement'!J30</f>
        <v>0</v>
      </c>
      <c r="L60" s="21">
        <f>'Hypothèses de recrutement'!K30</f>
        <v>0</v>
      </c>
      <c r="M60" s="21">
        <f>'Hypothèses de recrutement'!L30</f>
        <v>0</v>
      </c>
      <c r="N60" s="21">
        <f>'Hypothèses de recrutement'!M30</f>
        <v>45279</v>
      </c>
      <c r="O60" s="21">
        <f>'Hypothèses de recrutement'!N30</f>
        <v>61404</v>
      </c>
      <c r="P60" s="21">
        <f>'Hypothèses de recrutement'!O30</f>
        <v>61920</v>
      </c>
      <c r="Q60" s="21">
        <f>'Hypothèses de recrutement'!P30</f>
        <v>62436</v>
      </c>
    </row>
    <row r="61" spans="2:17" ht="15.75" hidden="1" outlineLevel="1" x14ac:dyDescent="0.5">
      <c r="B61" s="16"/>
      <c r="C61" s="17" t="str">
        <f>'Hypothèses de recrutement'!C31</f>
        <v>Resp études transitions num. 1</v>
      </c>
      <c r="E61" s="23"/>
      <c r="F61" s="22"/>
      <c r="G61" s="23"/>
      <c r="H61" s="21">
        <f>'Hypothèses de recrutement'!G31</f>
        <v>0</v>
      </c>
      <c r="I61" s="21">
        <f>'Hypothèses de recrutement'!H31</f>
        <v>0</v>
      </c>
      <c r="J61" s="21">
        <f>'Hypothèses de recrutement'!I31</f>
        <v>35298</v>
      </c>
      <c r="K61" s="21">
        <f>'Hypothèses de recrutement'!J31</f>
        <v>48396</v>
      </c>
      <c r="L61" s="21">
        <f>'Hypothèses de recrutement'!K31</f>
        <v>49728.000000000007</v>
      </c>
      <c r="M61" s="21">
        <f>'Hypothèses de recrutement'!L31</f>
        <v>51059.999999999993</v>
      </c>
      <c r="N61" s="21">
        <f>'Hypothèses de recrutement'!M31</f>
        <v>51948</v>
      </c>
      <c r="O61" s="21">
        <f>'Hypothèses de recrutement'!N31</f>
        <v>52836</v>
      </c>
      <c r="P61" s="21">
        <f>'Hypothèses de recrutement'!O31</f>
        <v>53280</v>
      </c>
      <c r="Q61" s="21">
        <f>'Hypothèses de recrutement'!P31</f>
        <v>53724</v>
      </c>
    </row>
    <row r="62" spans="2:17" ht="15.75" hidden="1" outlineLevel="1" x14ac:dyDescent="0.5">
      <c r="B62" s="16"/>
      <c r="C62" s="17" t="str">
        <f>'Hypothèses de recrutement'!C32</f>
        <v>Resp études transitions num. 2</v>
      </c>
      <c r="E62" s="23"/>
      <c r="F62" s="22"/>
      <c r="G62" s="23"/>
      <c r="H62" s="21">
        <f>'Hypothèses de recrutement'!G32</f>
        <v>0</v>
      </c>
      <c r="I62" s="21">
        <f>'Hypothèses de recrutement'!H32</f>
        <v>0</v>
      </c>
      <c r="J62" s="21">
        <f>'Hypothèses de recrutement'!I32</f>
        <v>0</v>
      </c>
      <c r="K62" s="21">
        <f>'Hypothèses de recrutement'!J32</f>
        <v>0</v>
      </c>
      <c r="L62" s="21">
        <f>'Hypothèses de recrutement'!K32</f>
        <v>0</v>
      </c>
      <c r="M62" s="21">
        <f>'Hypothèses de recrutement'!L32</f>
        <v>0</v>
      </c>
      <c r="N62" s="21">
        <f>'Hypothèses de recrutement'!M32</f>
        <v>0</v>
      </c>
      <c r="O62" s="21">
        <f>'Hypothèses de recrutement'!N32</f>
        <v>0</v>
      </c>
      <c r="P62" s="21">
        <f>'Hypothèses de recrutement'!O32</f>
        <v>0</v>
      </c>
      <c r="Q62" s="21">
        <f>'Hypothèses de recrutement'!P32</f>
        <v>40293</v>
      </c>
    </row>
    <row r="63" spans="2:17" ht="15.75" hidden="1" outlineLevel="1" x14ac:dyDescent="0.5">
      <c r="B63" s="22"/>
      <c r="C63" s="17" t="str">
        <f>'Hypothèses de recrutement'!C33</f>
        <v>Resp études expé</v>
      </c>
      <c r="D63" s="22"/>
      <c r="E63" s="23"/>
      <c r="F63" s="22"/>
      <c r="G63" s="23"/>
      <c r="H63" s="21">
        <f>'Hypothèses de recrutement'!G33</f>
        <v>0</v>
      </c>
      <c r="I63" s="21">
        <f>'Hypothèses de recrutement'!H33</f>
        <v>0</v>
      </c>
      <c r="J63" s="21">
        <f>'Hypothèses de recrutement'!I33</f>
        <v>0</v>
      </c>
      <c r="K63" s="21">
        <f>'Hypothèses de recrutement'!J33</f>
        <v>0</v>
      </c>
      <c r="L63" s="21">
        <f>'Hypothèses de recrutement'!K33</f>
        <v>37296</v>
      </c>
      <c r="M63" s="21">
        <f>'Hypothèses de recrutement'!L33</f>
        <v>51059.999999999993</v>
      </c>
      <c r="N63" s="21">
        <f>'Hypothèses de recrutement'!M33</f>
        <v>51948</v>
      </c>
      <c r="O63" s="21">
        <f>'Hypothèses de recrutement'!N33</f>
        <v>52836</v>
      </c>
      <c r="P63" s="21">
        <f>'Hypothèses de recrutement'!O33</f>
        <v>53280</v>
      </c>
      <c r="Q63" s="21">
        <f>'Hypothèses de recrutement'!P33</f>
        <v>53724</v>
      </c>
    </row>
    <row r="64" spans="2:17" ht="15.75" hidden="1" outlineLevel="1" x14ac:dyDescent="0.5">
      <c r="B64" s="22"/>
      <c r="C64" s="17"/>
      <c r="D64" s="22"/>
      <c r="E64" s="23"/>
      <c r="F64" s="22"/>
      <c r="G64" s="23"/>
      <c r="H64" s="21"/>
      <c r="I64" s="22"/>
      <c r="J64" s="21"/>
      <c r="K64" s="22"/>
      <c r="L64" s="21"/>
      <c r="M64" s="21"/>
      <c r="N64" s="21"/>
      <c r="O64" s="21"/>
      <c r="P64" s="21"/>
      <c r="Q64" s="21"/>
    </row>
    <row r="65" spans="2:17" ht="15.75" collapsed="1" x14ac:dyDescent="0.5">
      <c r="B65" s="16"/>
      <c r="C65" s="75" t="s">
        <v>56</v>
      </c>
      <c r="E65" s="23"/>
      <c r="F65" s="22"/>
      <c r="G65" s="23"/>
      <c r="H65" s="76">
        <f>SUMIF('Hypothèses de recrutement'!$F$5:$F$33,17%,'Hypothèses de recrutement'!G5:G33)</f>
        <v>150600</v>
      </c>
      <c r="I65" s="76">
        <f>SUMIF('Hypothèses de recrutement'!$F$5:$F$33,17%,'Hypothèses de recrutement'!H5:H33)</f>
        <v>377804</v>
      </c>
      <c r="J65" s="76">
        <f>SUMIF('Hypothèses de recrutement'!$F$5:$F$33,17%,'Hypothèses de recrutement'!I5:I33)</f>
        <v>565404</v>
      </c>
      <c r="K65" s="76">
        <f>SUMIF('Hypothèses de recrutement'!$F$5:$F$33,17%,'Hypothèses de recrutement'!J5:J33)</f>
        <v>704031</v>
      </c>
      <c r="L65" s="76">
        <f>SUMIF('Hypothèses de recrutement'!$F$5:$F$33,17%,'Hypothèses de recrutement'!K5:K33)</f>
        <v>818496.00000000012</v>
      </c>
      <c r="M65" s="76">
        <f>SUMIF('Hypothèses de recrutement'!$F$5:$F$33,17%,'Hypothèses de recrutement'!L5:L33)</f>
        <v>912524.99999999988</v>
      </c>
      <c r="N65" s="76">
        <f>SUMIF('Hypothèses de recrutement'!$F$5:$F$33,17%,'Hypothèses de recrutement'!M5:M33)</f>
        <v>988767</v>
      </c>
      <c r="O65" s="76">
        <f>SUMIF('Hypothèses de recrutement'!$F$5:$F$33,17%,'Hypothèses de recrutement'!N5:N33)</f>
        <v>1021020</v>
      </c>
      <c r="P65" s="76">
        <f>SUMIF('Hypothèses de recrutement'!$F$5:$F$33,17%,'Hypothèses de recrutement'!O5:O33)</f>
        <v>1062000</v>
      </c>
      <c r="Q65" s="76">
        <f>SUMIF('Hypothèses de recrutement'!$F$5:$F$33,17%,'Hypothèses de recrutement'!P5:P33)</f>
        <v>1122033</v>
      </c>
    </row>
    <row r="66" spans="2:17" ht="15.75" x14ac:dyDescent="0.5">
      <c r="B66" s="16"/>
      <c r="C66" s="77" t="s">
        <v>280</v>
      </c>
      <c r="D66" s="78"/>
      <c r="E66" s="23"/>
      <c r="F66" s="22"/>
      <c r="G66" s="23"/>
      <c r="H66" s="21">
        <f t="shared" ref="H66:K66" si="7">H65*17%</f>
        <v>25602.000000000004</v>
      </c>
      <c r="I66" s="21">
        <f t="shared" si="7"/>
        <v>64226.680000000008</v>
      </c>
      <c r="J66" s="21">
        <f t="shared" si="7"/>
        <v>96118.680000000008</v>
      </c>
      <c r="K66" s="21">
        <f t="shared" si="7"/>
        <v>119685.27</v>
      </c>
      <c r="L66" s="21">
        <f>L65*40%</f>
        <v>327398.40000000008</v>
      </c>
      <c r="M66" s="21">
        <f t="shared" ref="M66:Q66" si="8">M65*40%</f>
        <v>365010</v>
      </c>
      <c r="N66" s="21">
        <f t="shared" si="8"/>
        <v>395506.80000000005</v>
      </c>
      <c r="O66" s="21">
        <f t="shared" si="8"/>
        <v>408408</v>
      </c>
      <c r="P66" s="21">
        <f t="shared" si="8"/>
        <v>424800</v>
      </c>
      <c r="Q66" s="21">
        <f t="shared" si="8"/>
        <v>448813.2</v>
      </c>
    </row>
    <row r="67" spans="2:17" ht="15.75" x14ac:dyDescent="0.5">
      <c r="B67" s="16"/>
      <c r="C67" s="17" t="s">
        <v>58</v>
      </c>
      <c r="E67" s="23"/>
      <c r="F67" s="22"/>
      <c r="G67" s="23"/>
      <c r="H67" s="21">
        <f>1.23%*H65</f>
        <v>1852.38</v>
      </c>
      <c r="I67" s="21">
        <f t="shared" ref="I67:Q67" si="9">1.23%*I65</f>
        <v>4646.9892</v>
      </c>
      <c r="J67" s="21">
        <f t="shared" si="9"/>
        <v>6954.4692000000005</v>
      </c>
      <c r="K67" s="21">
        <f t="shared" si="9"/>
        <v>8659.5812999999998</v>
      </c>
      <c r="L67" s="21">
        <f t="shared" si="9"/>
        <v>10067.500800000002</v>
      </c>
      <c r="M67" s="21">
        <f t="shared" si="9"/>
        <v>11224.057499999999</v>
      </c>
      <c r="N67" s="21">
        <f t="shared" si="9"/>
        <v>12161.8341</v>
      </c>
      <c r="O67" s="21">
        <f t="shared" si="9"/>
        <v>12558.546</v>
      </c>
      <c r="P67" s="21">
        <f t="shared" si="9"/>
        <v>13062.6</v>
      </c>
      <c r="Q67" s="21">
        <f t="shared" si="9"/>
        <v>13801.0059</v>
      </c>
    </row>
    <row r="68" spans="2:17" ht="15.75" x14ac:dyDescent="0.5">
      <c r="B68" s="16"/>
      <c r="C68" s="75" t="s">
        <v>57</v>
      </c>
      <c r="E68" s="23"/>
      <c r="F68" s="22"/>
      <c r="G68" s="23"/>
      <c r="H68" s="76">
        <f>SUMIF('Hypothèses de recrutement'!$F$5:$F$33,40%,'Hypothèses de recrutement'!G5:G33)</f>
        <v>54400</v>
      </c>
      <c r="I68" s="76">
        <f>SUMIF('Hypothèses de recrutement'!$F$5:$F$33,40%,'Hypothèses de recrutement'!H5:H33)</f>
        <v>171907</v>
      </c>
      <c r="J68" s="76">
        <f>SUMIF('Hypothèses de recrutement'!$F$5:$F$33,40%,'Hypothèses de recrutement'!I5:I33)</f>
        <v>248994</v>
      </c>
      <c r="K68" s="76">
        <f>SUMIF('Hypothèses de recrutement'!$F$5:$F$33,40%,'Hypothèses de recrutement'!J5:J33)</f>
        <v>286452</v>
      </c>
      <c r="L68" s="76">
        <f>SUMIF('Hypothèses de recrutement'!$F$5:$F$33,40%,'Hypothèses de recrutement'!K5:K33)</f>
        <v>372960.00000000006</v>
      </c>
      <c r="M68" s="76">
        <f>SUMIF('Hypothèses de recrutement'!$F$5:$F$33,40%,'Hypothèses de recrutement'!L5:L33)</f>
        <v>409860</v>
      </c>
      <c r="N68" s="76">
        <f>SUMIF('Hypothèses de recrutement'!$F$5:$F$33,40%,'Hypothèses de recrutement'!M5:M33)</f>
        <v>437346</v>
      </c>
      <c r="O68" s="76">
        <f>SUMIF('Hypothèses de recrutement'!$F$5:$F$33,40%,'Hypothèses de recrutement'!N5:N33)</f>
        <v>507297</v>
      </c>
      <c r="P68" s="76">
        <f>SUMIF('Hypothèses de recrutement'!$F$5:$F$33,40%,'Hypothèses de recrutement'!O5:O33)</f>
        <v>525600</v>
      </c>
      <c r="Q68" s="76">
        <f>SUMIF('Hypothèses de recrutement'!$F$5:$F$33,40%,'Hypothèses de recrutement'!P5:P33)</f>
        <v>529980</v>
      </c>
    </row>
    <row r="69" spans="2:17" ht="15.75" x14ac:dyDescent="0.5">
      <c r="B69" s="16"/>
      <c r="C69" s="77" t="s">
        <v>279</v>
      </c>
      <c r="E69" s="23"/>
      <c r="F69" s="22"/>
      <c r="G69" s="23"/>
      <c r="H69" s="21">
        <f>40%*H68</f>
        <v>21760</v>
      </c>
      <c r="I69" s="21">
        <f t="shared" ref="I69:Q69" si="10">40%*I68</f>
        <v>68762.8</v>
      </c>
      <c r="J69" s="21">
        <f t="shared" si="10"/>
        <v>99597.6</v>
      </c>
      <c r="K69" s="21">
        <f t="shared" si="10"/>
        <v>114580.8</v>
      </c>
      <c r="L69" s="21">
        <f t="shared" si="10"/>
        <v>149184.00000000003</v>
      </c>
      <c r="M69" s="21">
        <f t="shared" si="10"/>
        <v>163944</v>
      </c>
      <c r="N69" s="21">
        <f t="shared" si="10"/>
        <v>174938.40000000002</v>
      </c>
      <c r="O69" s="21">
        <f t="shared" si="10"/>
        <v>202918.80000000002</v>
      </c>
      <c r="P69" s="21">
        <f t="shared" si="10"/>
        <v>210240</v>
      </c>
      <c r="Q69" s="21">
        <f t="shared" si="10"/>
        <v>211992</v>
      </c>
    </row>
    <row r="70" spans="2:17" ht="15.75" x14ac:dyDescent="0.5">
      <c r="B70" s="22"/>
      <c r="C70" s="17" t="s">
        <v>58</v>
      </c>
      <c r="D70" s="22"/>
      <c r="E70" s="23"/>
      <c r="F70" s="22"/>
      <c r="G70" s="23"/>
      <c r="H70" s="21">
        <f t="shared" ref="H70:Q70" si="11">1.23%*(H65+H68)</f>
        <v>2521.5</v>
      </c>
      <c r="I70" s="21">
        <f t="shared" si="11"/>
        <v>6761.4453000000003</v>
      </c>
      <c r="J70" s="21">
        <f t="shared" si="11"/>
        <v>10017.0954</v>
      </c>
      <c r="K70" s="21">
        <f t="shared" si="11"/>
        <v>12182.9409</v>
      </c>
      <c r="L70" s="21">
        <f t="shared" si="11"/>
        <v>14654.908800000003</v>
      </c>
      <c r="M70" s="21">
        <f t="shared" si="11"/>
        <v>16265.335500000001</v>
      </c>
      <c r="N70" s="21">
        <f t="shared" si="11"/>
        <v>17541.189900000001</v>
      </c>
      <c r="O70" s="21">
        <f t="shared" si="11"/>
        <v>18798.2991</v>
      </c>
      <c r="P70" s="21">
        <f t="shared" si="11"/>
        <v>19527.48</v>
      </c>
      <c r="Q70" s="21">
        <f t="shared" si="11"/>
        <v>20319.759900000001</v>
      </c>
    </row>
    <row r="71" spans="2:17" ht="15.75" x14ac:dyDescent="0.5">
      <c r="B71" s="22"/>
      <c r="C71" s="17"/>
      <c r="D71" s="22"/>
      <c r="E71" s="23"/>
      <c r="F71" s="22"/>
      <c r="G71" s="23"/>
      <c r="H71" s="21"/>
      <c r="I71" s="22"/>
      <c r="J71" s="21"/>
      <c r="K71" s="22"/>
      <c r="L71" s="21"/>
      <c r="M71" s="21"/>
      <c r="N71" s="21"/>
      <c r="O71" s="21"/>
      <c r="P71" s="21"/>
      <c r="Q71" s="21"/>
    </row>
    <row r="72" spans="2:17" ht="15.75" x14ac:dyDescent="0.5">
      <c r="B72" s="22"/>
      <c r="C72" s="42"/>
      <c r="D72" s="22"/>
      <c r="E72" s="23"/>
      <c r="F72" s="22"/>
      <c r="G72" s="18" t="s">
        <v>18</v>
      </c>
      <c r="H72" s="43">
        <f>H65+H68+H70+H66+H69+H67</f>
        <v>256735.88</v>
      </c>
      <c r="I72" s="43">
        <f t="shared" ref="I72:Q72" si="12">I65+I68+I70+I66+I69+I67</f>
        <v>694108.91450000007</v>
      </c>
      <c r="J72" s="43">
        <f t="shared" si="12"/>
        <v>1027085.8446000001</v>
      </c>
      <c r="K72" s="43">
        <f t="shared" si="12"/>
        <v>1245591.5922000001</v>
      </c>
      <c r="L72" s="43">
        <f t="shared" si="12"/>
        <v>1692760.8096000005</v>
      </c>
      <c r="M72" s="43">
        <f t="shared" si="12"/>
        <v>1878828.3930000002</v>
      </c>
      <c r="N72" s="43">
        <f t="shared" si="12"/>
        <v>2026261.2240000004</v>
      </c>
      <c r="O72" s="43">
        <f t="shared" si="12"/>
        <v>2171000.6450999998</v>
      </c>
      <c r="P72" s="43">
        <f t="shared" si="12"/>
        <v>2255230.08</v>
      </c>
      <c r="Q72" s="43">
        <f t="shared" si="12"/>
        <v>2346938.9658000004</v>
      </c>
    </row>
    <row r="73" spans="2:17" ht="15.75" x14ac:dyDescent="0.5">
      <c r="B73" s="22"/>
      <c r="C73" s="17"/>
      <c r="D73" s="22"/>
      <c r="E73" s="23"/>
      <c r="F73" s="22"/>
      <c r="G73" s="23"/>
      <c r="H73" s="21"/>
      <c r="I73" s="22"/>
      <c r="J73" s="21"/>
      <c r="K73" s="22"/>
      <c r="L73" s="21"/>
      <c r="M73" s="21"/>
      <c r="N73" s="21"/>
      <c r="O73" s="21"/>
      <c r="P73" s="21"/>
      <c r="Q73" s="21"/>
    </row>
    <row r="74" spans="2:17" ht="15.75" hidden="1" outlineLevel="1" x14ac:dyDescent="0.5">
      <c r="B74" s="22"/>
      <c r="C74" s="17" t="s">
        <v>19</v>
      </c>
      <c r="D74" s="22"/>
      <c r="E74" s="23"/>
      <c r="F74" s="22"/>
      <c r="G74" s="23"/>
      <c r="H74" s="21">
        <f>'Hypothèses de coûts'!D12*'Compte de résultat'!H12</f>
        <v>0</v>
      </c>
      <c r="I74" s="21">
        <f>'Hypothèses de coûts'!E12*'Compte de résultat'!I12</f>
        <v>5100</v>
      </c>
      <c r="J74" s="21">
        <f>'Hypothèses de coûts'!F12*'Compte de résultat'!J12</f>
        <v>7140</v>
      </c>
      <c r="K74" s="21">
        <f>'Hypothèses de coûts'!G12*'Compte de résultat'!K12</f>
        <v>9900</v>
      </c>
      <c r="L74" s="21">
        <f>'Hypothèses de coûts'!H12*'Compte de résultat'!L12</f>
        <v>16050</v>
      </c>
      <c r="M74" s="21">
        <f>'Hypothèses de coûts'!I12*'Compte de résultat'!M12</f>
        <v>22470</v>
      </c>
      <c r="N74" s="21">
        <f>'Hypothèses de coûts'!J12*'Compte de résultat'!N12</f>
        <v>31368</v>
      </c>
      <c r="O74" s="21">
        <f>'Hypothèses de coûts'!K12*'Compte de résultat'!O12</f>
        <v>43885.200000000004</v>
      </c>
      <c r="P74" s="21">
        <f>'Hypothèses de coûts'!L12*'Compte de résultat'!P12</f>
        <v>61438.8</v>
      </c>
      <c r="Q74" s="21">
        <f>'Hypothèses de coûts'!M12*'Compte de résultat'!Q12</f>
        <v>73636.2</v>
      </c>
    </row>
    <row r="75" spans="2:17" ht="15.75" hidden="1" outlineLevel="1" x14ac:dyDescent="0.5">
      <c r="B75" s="22"/>
      <c r="C75" s="17" t="s">
        <v>20</v>
      </c>
      <c r="D75" s="22"/>
      <c r="E75" s="23"/>
      <c r="F75" s="22"/>
      <c r="G75" s="23"/>
      <c r="H75" s="21">
        <f>12*(200+('Hypothèses de coûts'!D13*'Hypothèses de recrutement'!G34))</f>
        <v>4560</v>
      </c>
      <c r="I75" s="21">
        <f>12*(200+('Hypothèses de coûts'!E13*'Hypothèses de recrutement'!H34))</f>
        <v>6720</v>
      </c>
      <c r="J75" s="21">
        <f>12*(200+('Hypothèses de coûts'!F13*'Hypothèses de recrutement'!I34))</f>
        <v>8880</v>
      </c>
      <c r="K75" s="21">
        <f>12*(200+('Hypothèses de coûts'!G13*'Hypothèses de recrutement'!J34))</f>
        <v>9240</v>
      </c>
      <c r="L75" s="21">
        <f>12*(200+('Hypothèses de coûts'!H13*'Hypothèses de recrutement'!K34))</f>
        <v>10680</v>
      </c>
      <c r="M75" s="21">
        <f>12*(200+('Hypothèses de coûts'!I13*'Hypothèses de recrutement'!L34))</f>
        <v>11040</v>
      </c>
      <c r="N75" s="21">
        <f>12*(200+('Hypothèses de coûts'!J13*'Hypothèses de recrutement'!M34))</f>
        <v>11760</v>
      </c>
      <c r="O75" s="21">
        <f>12*(200+('Hypothèses de coûts'!K13*'Hypothèses de recrutement'!N34))</f>
        <v>12120</v>
      </c>
      <c r="P75" s="21">
        <f>12*(200+('Hypothèses de coûts'!L13*'Hypothèses de recrutement'!O34))</f>
        <v>12480</v>
      </c>
      <c r="Q75" s="21">
        <f>12*(200+('Hypothèses de coûts'!M13*'Hypothèses de recrutement'!P34))</f>
        <v>12840</v>
      </c>
    </row>
    <row r="76" spans="2:17" ht="15.75" hidden="1" outlineLevel="1" x14ac:dyDescent="0.5">
      <c r="B76" s="22"/>
      <c r="C76" s="17" t="s">
        <v>86</v>
      </c>
      <c r="D76" s="22"/>
      <c r="E76" s="23"/>
      <c r="F76" s="22"/>
      <c r="G76" s="23"/>
      <c r="H76" s="21">
        <f>12*('Hypothèses de coûts'!D14*'Hypothèses de recrutement'!G34)</f>
        <v>2160</v>
      </c>
      <c r="I76" s="21">
        <f>12*('Hypothèses de coûts'!E14*'Hypothèses de recrutement'!H34)</f>
        <v>3600</v>
      </c>
      <c r="J76" s="21">
        <f>12*('Hypothèses de coûts'!F14*'Hypothèses de recrutement'!I34)</f>
        <v>4752</v>
      </c>
      <c r="K76" s="21">
        <f>12*('Hypothèses de coûts'!G14*'Hypothèses de recrutement'!J34)</f>
        <v>5016</v>
      </c>
      <c r="L76" s="21">
        <f>12*('Hypothèses de coûts'!H14*'Hypothèses de recrutement'!K34)</f>
        <v>6072</v>
      </c>
      <c r="M76" s="21">
        <f>12*('Hypothèses de coûts'!I14*'Hypothèses de recrutement'!L34)</f>
        <v>6336</v>
      </c>
      <c r="N76" s="21">
        <f>12*('Hypothèses de coûts'!J14*'Hypothèses de recrutement'!M34)</f>
        <v>6864</v>
      </c>
      <c r="O76" s="21">
        <f>12*('Hypothèses de coûts'!K14*'Hypothèses de recrutement'!N34)</f>
        <v>7128</v>
      </c>
      <c r="P76" s="21">
        <f>12*('Hypothèses de coûts'!L14*'Hypothèses de recrutement'!O34)</f>
        <v>7392</v>
      </c>
      <c r="Q76" s="21">
        <f>12*('Hypothèses de coûts'!M14*'Hypothèses de recrutement'!P34)</f>
        <v>7656</v>
      </c>
    </row>
    <row r="77" spans="2:17" ht="15.75" hidden="1" outlineLevel="1" x14ac:dyDescent="0.5">
      <c r="B77" s="22"/>
      <c r="C77" s="17" t="s">
        <v>21</v>
      </c>
      <c r="D77" s="22"/>
      <c r="E77" s="23"/>
      <c r="F77" s="22"/>
      <c r="G77" s="23"/>
      <c r="H77" s="21">
        <f>'Hypothèses de coûts'!D15*'Hypothèses de recrutement'!G34*12</f>
        <v>1080</v>
      </c>
      <c r="I77" s="21">
        <f>'Hypothèses de coûts'!E15*'Hypothèses de recrutement'!H34*12</f>
        <v>2160</v>
      </c>
      <c r="J77" s="21">
        <f>'Hypothèses de coûts'!F15*'Hypothèses de recrutement'!I34*12</f>
        <v>3240</v>
      </c>
      <c r="K77" s="21">
        <f>'Hypothèses de coûts'!G15*'Hypothèses de recrutement'!J34*12</f>
        <v>3420</v>
      </c>
      <c r="L77" s="21">
        <f>'Hypothèses de coûts'!H15*'Hypothèses de recrutement'!K34*12</f>
        <v>4140</v>
      </c>
      <c r="M77" s="21">
        <f>'Hypothèses de coûts'!I15*'Hypothèses de recrutement'!L34*12</f>
        <v>4320</v>
      </c>
      <c r="N77" s="21">
        <f>'Hypothèses de coûts'!J15*'Hypothèses de recrutement'!M34*12</f>
        <v>4680</v>
      </c>
      <c r="O77" s="21">
        <f>'Hypothèses de coûts'!K15*'Hypothèses de recrutement'!N34*12</f>
        <v>4860</v>
      </c>
      <c r="P77" s="21">
        <f>'Hypothèses de coûts'!L15*'Hypothèses de recrutement'!O34*12</f>
        <v>5040</v>
      </c>
      <c r="Q77" s="21">
        <f>'Hypothèses de coûts'!M15*'Hypothèses de recrutement'!P34*12</f>
        <v>5220</v>
      </c>
    </row>
    <row r="78" spans="2:17" ht="15.75" hidden="1" outlineLevel="1" x14ac:dyDescent="0.5">
      <c r="B78" s="22"/>
      <c r="C78" s="17" t="s">
        <v>201</v>
      </c>
      <c r="D78" s="22"/>
      <c r="E78" s="23"/>
      <c r="F78" s="22"/>
      <c r="G78" s="23"/>
      <c r="H78" s="21">
        <f>'Balance Sheet'!I12*'Hypothèses de coûts'!D16</f>
        <v>2500</v>
      </c>
      <c r="I78" s="21">
        <f>'Balance Sheet'!J12*'Hypothèses de coûts'!E16</f>
        <v>5000</v>
      </c>
      <c r="J78" s="21">
        <f>'Balance Sheet'!K12*'Hypothèses de coûts'!F16</f>
        <v>7500</v>
      </c>
      <c r="K78" s="21">
        <f>'Balance Sheet'!L12*'Hypothèses de coûts'!G16</f>
        <v>8000</v>
      </c>
      <c r="L78" s="21">
        <f>'Balance Sheet'!M12*'Hypothèses de coûts'!H16</f>
        <v>9500</v>
      </c>
      <c r="M78" s="21">
        <f>'Balance Sheet'!N12*'Hypothèses de coûts'!I16</f>
        <v>10000</v>
      </c>
      <c r="N78" s="21">
        <f>'Balance Sheet'!O12*'Hypothèses de coûts'!J16</f>
        <v>10750</v>
      </c>
      <c r="O78" s="21">
        <f>'Balance Sheet'!P12*'Hypothèses de coûts'!K16</f>
        <v>11000</v>
      </c>
      <c r="P78" s="21">
        <f>'Balance Sheet'!Q12*'Hypothèses de coûts'!L16</f>
        <v>11500</v>
      </c>
      <c r="Q78" s="21">
        <f>'Balance Sheet'!R12*'Hypothèses de coûts'!M16</f>
        <v>12000</v>
      </c>
    </row>
    <row r="79" spans="2:17" ht="15.75" hidden="1" outlineLevel="1" x14ac:dyDescent="0.5">
      <c r="B79" s="22"/>
      <c r="C79" s="17" t="s">
        <v>22</v>
      </c>
      <c r="D79" s="22"/>
      <c r="E79" s="23"/>
      <c r="F79" s="22"/>
      <c r="G79" s="23"/>
      <c r="H79" s="21">
        <f>H12*'Hypothèses de coûts'!D17</f>
        <v>0</v>
      </c>
      <c r="I79" s="21">
        <f>I12*'Hypothèses de coûts'!E17</f>
        <v>2040</v>
      </c>
      <c r="J79" s="21">
        <f>J12*'Hypothèses de coûts'!F17</f>
        <v>3060</v>
      </c>
      <c r="K79" s="21">
        <f>K12*'Hypothèses de coûts'!G17</f>
        <v>3960</v>
      </c>
      <c r="L79" s="21">
        <f>L12*'Hypothèses de coûts'!H17</f>
        <v>6420</v>
      </c>
      <c r="M79" s="21">
        <f>M12*'Hypothèses de coûts'!I17</f>
        <v>8988</v>
      </c>
      <c r="N79" s="21">
        <f>N12*'Hypothèses de coûts'!J17</f>
        <v>12547.2</v>
      </c>
      <c r="O79" s="21">
        <f>O12*'Hypothèses de coûts'!K17</f>
        <v>17554.080000000002</v>
      </c>
      <c r="P79" s="21">
        <f>P12*'Hypothèses de coûts'!L17</f>
        <v>24575.52</v>
      </c>
      <c r="Q79" s="21">
        <f>Q12*'Hypothèses de coûts'!M17</f>
        <v>29454.48</v>
      </c>
    </row>
    <row r="80" spans="2:17" ht="15.75" hidden="1" outlineLevel="1" x14ac:dyDescent="0.5">
      <c r="B80" s="22"/>
      <c r="C80" s="17"/>
      <c r="D80" s="22"/>
      <c r="E80" s="23"/>
      <c r="F80" s="22"/>
      <c r="G80" s="23"/>
      <c r="H80" s="21"/>
      <c r="I80" s="22"/>
      <c r="J80" s="21"/>
      <c r="K80" s="22"/>
      <c r="L80" s="21"/>
      <c r="M80" s="21"/>
      <c r="N80" s="21"/>
      <c r="O80" s="21"/>
      <c r="P80" s="21"/>
      <c r="Q80" s="21"/>
    </row>
    <row r="81" spans="2:17" ht="15.75" collapsed="1" x14ac:dyDescent="0.5">
      <c r="B81" s="22"/>
      <c r="C81" s="42"/>
      <c r="D81" s="22"/>
      <c r="E81" s="23"/>
      <c r="F81" s="22"/>
      <c r="G81" s="18" t="s">
        <v>23</v>
      </c>
      <c r="H81" s="43">
        <f t="shared" ref="H81:Q81" si="13">SUM(H74:H79)</f>
        <v>10300</v>
      </c>
      <c r="I81" s="43">
        <f t="shared" si="13"/>
        <v>24620</v>
      </c>
      <c r="J81" s="43">
        <f t="shared" si="13"/>
        <v>34572</v>
      </c>
      <c r="K81" s="43">
        <f t="shared" si="13"/>
        <v>39536</v>
      </c>
      <c r="L81" s="43">
        <f t="shared" si="13"/>
        <v>52862</v>
      </c>
      <c r="M81" s="43">
        <f t="shared" si="13"/>
        <v>63154</v>
      </c>
      <c r="N81" s="43">
        <f t="shared" si="13"/>
        <v>77969.2</v>
      </c>
      <c r="O81" s="43">
        <f t="shared" si="13"/>
        <v>96547.280000000013</v>
      </c>
      <c r="P81" s="43">
        <f t="shared" si="13"/>
        <v>122426.32</v>
      </c>
      <c r="Q81" s="43">
        <f t="shared" si="13"/>
        <v>140806.68</v>
      </c>
    </row>
    <row r="82" spans="2:17" ht="15.75" x14ac:dyDescent="0.5">
      <c r="B82" s="22"/>
      <c r="C82" s="42"/>
      <c r="D82" s="22"/>
      <c r="E82" s="23"/>
      <c r="F82" s="22"/>
      <c r="G82" s="23"/>
      <c r="H82" s="43"/>
      <c r="I82" s="16"/>
      <c r="J82" s="43"/>
      <c r="K82" s="16"/>
      <c r="L82" s="43"/>
      <c r="M82" s="43"/>
      <c r="N82" s="43"/>
      <c r="O82" s="43"/>
      <c r="P82" s="43"/>
      <c r="Q82" s="43"/>
    </row>
    <row r="83" spans="2:17" ht="15.75" hidden="1" outlineLevel="1" x14ac:dyDescent="0.5">
      <c r="B83" s="22"/>
      <c r="C83" s="17">
        <f>'Hypothèses de coûts'!C22</f>
        <v>0</v>
      </c>
      <c r="D83" s="22"/>
      <c r="E83" s="23"/>
      <c r="F83" s="22"/>
      <c r="G83" s="23"/>
      <c r="H83" s="21">
        <f>'Hypothèses de coûts'!D22</f>
        <v>0</v>
      </c>
      <c r="I83" s="21">
        <f>'Hypothèses de coûts'!E22</f>
        <v>0</v>
      </c>
      <c r="J83" s="21">
        <f>'Hypothèses de coûts'!F22</f>
        <v>0</v>
      </c>
      <c r="K83" s="21">
        <f>'Hypothèses de coûts'!G22</f>
        <v>0</v>
      </c>
      <c r="L83" s="21">
        <f>'Hypothèses de coûts'!H22</f>
        <v>0</v>
      </c>
      <c r="M83" s="21">
        <f>'Hypothèses de coûts'!I22</f>
        <v>0</v>
      </c>
      <c r="N83" s="21">
        <f>'Hypothèses de coûts'!J22</f>
        <v>0</v>
      </c>
      <c r="O83" s="21">
        <f>'Hypothèses de coûts'!K22</f>
        <v>0</v>
      </c>
      <c r="P83" s="21">
        <f>'Hypothèses de coûts'!L22</f>
        <v>0</v>
      </c>
      <c r="Q83" s="21">
        <f>'Hypothèses de coûts'!M22</f>
        <v>0</v>
      </c>
    </row>
    <row r="84" spans="2:17" ht="15.75" hidden="1" outlineLevel="1" x14ac:dyDescent="0.5">
      <c r="B84" s="22"/>
      <c r="C84" s="17" t="str">
        <f>'Hypothèses de coûts'!C23</f>
        <v>Budget Google Adwords</v>
      </c>
      <c r="D84" s="22"/>
      <c r="E84" s="23"/>
      <c r="F84" s="22"/>
      <c r="G84" s="23"/>
      <c r="H84" s="21">
        <f>'Hypothèses de coûts'!D23</f>
        <v>0</v>
      </c>
      <c r="I84" s="21">
        <f>'Hypothèses de coûts'!E23</f>
        <v>0</v>
      </c>
      <c r="J84" s="21">
        <f>'Hypothèses de coûts'!F23</f>
        <v>15000</v>
      </c>
      <c r="K84" s="21">
        <f>'Hypothèses de coûts'!G23</f>
        <v>30000</v>
      </c>
      <c r="L84" s="21">
        <f>'Hypothèses de coûts'!H23</f>
        <v>170000</v>
      </c>
      <c r="M84" s="21">
        <f>'Hypothèses de coûts'!I23</f>
        <v>255000</v>
      </c>
      <c r="N84" s="21">
        <f>'Hypothèses de coûts'!J23</f>
        <v>382500</v>
      </c>
      <c r="O84" s="21">
        <f>'Hypothèses de coûts'!K23</f>
        <v>459000</v>
      </c>
      <c r="P84" s="21">
        <f>'Hypothèses de coûts'!L23</f>
        <v>550800</v>
      </c>
      <c r="Q84" s="21">
        <f>'Hypothèses de coûts'!M23</f>
        <v>660960</v>
      </c>
    </row>
    <row r="85" spans="2:17" ht="15.75" hidden="1" outlineLevel="1" x14ac:dyDescent="0.5">
      <c r="B85" s="22"/>
      <c r="C85" s="17" t="str">
        <f>'Hypothèses de coûts'!C24</f>
        <v>Budget FB ads</v>
      </c>
      <c r="D85" s="22"/>
      <c r="E85" s="23"/>
      <c r="F85" s="22"/>
      <c r="G85" s="23"/>
      <c r="H85" s="21">
        <f>'Hypothèses de coûts'!D24</f>
        <v>0</v>
      </c>
      <c r="I85" s="21">
        <f>'Hypothèses de coûts'!E24</f>
        <v>0</v>
      </c>
      <c r="J85" s="21">
        <f>'Hypothèses de coûts'!F24</f>
        <v>15000</v>
      </c>
      <c r="K85" s="21">
        <f>'Hypothèses de coûts'!G24</f>
        <v>30000</v>
      </c>
      <c r="L85" s="21">
        <f>'Hypothèses de coûts'!H24</f>
        <v>170000</v>
      </c>
      <c r="M85" s="21">
        <f>'Hypothèses de coûts'!I24</f>
        <v>255000</v>
      </c>
      <c r="N85" s="21">
        <f>'Hypothèses de coûts'!J24</f>
        <v>382500</v>
      </c>
      <c r="O85" s="21">
        <f>'Hypothèses de coûts'!K24</f>
        <v>459000</v>
      </c>
      <c r="P85" s="21">
        <f>'Hypothèses de coûts'!L24</f>
        <v>550800</v>
      </c>
      <c r="Q85" s="21">
        <f>'Hypothèses de coûts'!M24</f>
        <v>660960</v>
      </c>
    </row>
    <row r="86" spans="2:17" ht="15.75" hidden="1" outlineLevel="1" x14ac:dyDescent="0.5">
      <c r="B86" s="22"/>
      <c r="C86" s="17" t="str">
        <f>'Hypothèses de coûts'!C25</f>
        <v>Budget Instagram ads</v>
      </c>
      <c r="D86" s="22"/>
      <c r="E86" s="23"/>
      <c r="F86" s="22"/>
      <c r="G86" s="23"/>
      <c r="H86" s="21">
        <f>'Hypothèses de coûts'!D25</f>
        <v>0</v>
      </c>
      <c r="I86" s="21">
        <f>'Hypothèses de coûts'!E25</f>
        <v>0</v>
      </c>
      <c r="J86" s="21">
        <f>'Hypothèses de coûts'!F25</f>
        <v>15000</v>
      </c>
      <c r="K86" s="21">
        <f>'Hypothèses de coûts'!G25</f>
        <v>30000</v>
      </c>
      <c r="L86" s="21">
        <f>'Hypothèses de coûts'!H25</f>
        <v>170000</v>
      </c>
      <c r="M86" s="21">
        <f>'Hypothèses de coûts'!I25</f>
        <v>255000</v>
      </c>
      <c r="N86" s="21">
        <f>'Hypothèses de coûts'!J25</f>
        <v>382500</v>
      </c>
      <c r="O86" s="21">
        <f>'Hypothèses de coûts'!K25</f>
        <v>459000</v>
      </c>
      <c r="P86" s="21">
        <f>'Hypothèses de coûts'!L25</f>
        <v>550800</v>
      </c>
      <c r="Q86" s="21">
        <f>'Hypothèses de coûts'!M25</f>
        <v>660960</v>
      </c>
    </row>
    <row r="87" spans="2:17" ht="15.75" hidden="1" outlineLevel="1" x14ac:dyDescent="0.5">
      <c r="B87" s="22"/>
      <c r="C87" s="17" t="str">
        <f>'Hypothèses de coûts'!C26</f>
        <v>Budhet Youtube</v>
      </c>
      <c r="D87" s="22"/>
      <c r="E87" s="23"/>
      <c r="F87" s="22"/>
      <c r="G87" s="23"/>
      <c r="H87" s="21">
        <f>'Hypothèses de coûts'!D26</f>
        <v>0</v>
      </c>
      <c r="I87" s="21">
        <f>'Hypothèses de coûts'!E26</f>
        <v>0</v>
      </c>
      <c r="J87" s="21">
        <f>'Hypothèses de coûts'!F26</f>
        <v>15000</v>
      </c>
      <c r="K87" s="21">
        <f>'Hypothèses de coûts'!G26</f>
        <v>30000</v>
      </c>
      <c r="L87" s="21">
        <f>'Hypothèses de coûts'!H26</f>
        <v>170000</v>
      </c>
      <c r="M87" s="21">
        <f>'Hypothèses de coûts'!I26</f>
        <v>255000</v>
      </c>
      <c r="N87" s="21">
        <f>'Hypothèses de coûts'!J26</f>
        <v>382500</v>
      </c>
      <c r="O87" s="21">
        <f>'Hypothèses de coûts'!K26</f>
        <v>459000</v>
      </c>
      <c r="P87" s="21">
        <f>'Hypothèses de coûts'!L26</f>
        <v>550800</v>
      </c>
      <c r="Q87" s="21">
        <f>'Hypothèses de coûts'!M26</f>
        <v>660960</v>
      </c>
    </row>
    <row r="88" spans="2:17" ht="15.75" hidden="1" outlineLevel="1" x14ac:dyDescent="0.5">
      <c r="B88" s="22"/>
      <c r="C88" s="17" t="str">
        <f>'Hypothèses de coûts'!C27</f>
        <v>Budget affichage</v>
      </c>
      <c r="D88" s="22"/>
      <c r="E88" s="23"/>
      <c r="F88" s="22"/>
      <c r="G88" s="23"/>
      <c r="H88" s="21">
        <f>'Hypothèses de coûts'!D27</f>
        <v>0</v>
      </c>
      <c r="I88" s="21">
        <f>'Hypothèses de coûts'!E27</f>
        <v>0</v>
      </c>
      <c r="J88" s="21">
        <f>'Hypothèses de coûts'!F27</f>
        <v>50000</v>
      </c>
      <c r="K88" s="21">
        <f>'Hypothèses de coûts'!G27</f>
        <v>100000</v>
      </c>
      <c r="L88" s="21">
        <f>'Hypothèses de coûts'!H27</f>
        <v>290000</v>
      </c>
      <c r="M88" s="21">
        <f>'Hypothèses de coûts'!I27</f>
        <v>435000</v>
      </c>
      <c r="N88" s="21">
        <f>'Hypothèses de coûts'!J27</f>
        <v>652500</v>
      </c>
      <c r="O88" s="21">
        <f>'Hypothèses de coûts'!K27</f>
        <v>783000</v>
      </c>
      <c r="P88" s="21">
        <f>'Hypothèses de coûts'!L27</f>
        <v>939600</v>
      </c>
      <c r="Q88" s="21">
        <f>'Hypothèses de coûts'!M27</f>
        <v>1127520</v>
      </c>
    </row>
    <row r="89" spans="2:17" ht="15.75" hidden="1" outlineLevel="1" x14ac:dyDescent="0.5">
      <c r="B89" s="22"/>
      <c r="C89" s="17" t="str">
        <f>'Hypothèses de coûts'!C28</f>
        <v>Frais agence marketing</v>
      </c>
      <c r="D89" s="22"/>
      <c r="E89" s="23"/>
      <c r="F89" s="22"/>
      <c r="G89" s="23"/>
      <c r="H89" s="21">
        <f>'Hypothèses de coûts'!D28</f>
        <v>0</v>
      </c>
      <c r="I89" s="21">
        <f>'Hypothèses de coûts'!E28</f>
        <v>0</v>
      </c>
      <c r="J89" s="21">
        <f>'Hypothèses de coûts'!F28</f>
        <v>30000</v>
      </c>
      <c r="K89" s="21">
        <f>'Hypothèses de coûts'!G28</f>
        <v>40000</v>
      </c>
      <c r="L89" s="21">
        <f>'Hypothèses de coûts'!H28</f>
        <v>170000</v>
      </c>
      <c r="M89" s="21">
        <f>'Hypothèses de coûts'!I28</f>
        <v>255000</v>
      </c>
      <c r="N89" s="21">
        <f>'Hypothèses de coûts'!J28</f>
        <v>382500</v>
      </c>
      <c r="O89" s="21">
        <f>'Hypothèses de coûts'!K28</f>
        <v>459000</v>
      </c>
      <c r="P89" s="21">
        <f>'Hypothèses de coûts'!L28</f>
        <v>550800</v>
      </c>
      <c r="Q89" s="21">
        <f>'Hypothèses de coûts'!M28</f>
        <v>660960</v>
      </c>
    </row>
    <row r="90" spans="2:17" ht="15.75" hidden="1" outlineLevel="1" x14ac:dyDescent="0.5">
      <c r="B90" s="22"/>
      <c r="C90" s="17" t="str">
        <f>'Hypothèses de coûts'!C29</f>
        <v>Budget participations salons</v>
      </c>
      <c r="D90" s="22"/>
      <c r="E90" s="23"/>
      <c r="F90" s="22"/>
      <c r="G90" s="23"/>
      <c r="H90" s="21">
        <f>'Hypothèses de coûts'!D29</f>
        <v>0</v>
      </c>
      <c r="I90" s="21">
        <f>'Hypothèses de coûts'!E29</f>
        <v>0</v>
      </c>
      <c r="J90" s="21">
        <f>'Hypothèses de coûts'!F29</f>
        <v>50000</v>
      </c>
      <c r="K90" s="21">
        <f>'Hypothèses de coûts'!G29</f>
        <v>80000</v>
      </c>
      <c r="L90" s="21">
        <f>'Hypothèses de coûts'!H29</f>
        <v>200000</v>
      </c>
      <c r="M90" s="21">
        <f>'Hypothèses de coûts'!I29</f>
        <v>280000</v>
      </c>
      <c r="N90" s="21">
        <f>'Hypothèses de coûts'!J29</f>
        <v>280000</v>
      </c>
      <c r="O90" s="21">
        <f>'Hypothèses de coûts'!K29</f>
        <v>280000</v>
      </c>
      <c r="P90" s="21">
        <f>'Hypothèses de coûts'!L29</f>
        <v>280000</v>
      </c>
      <c r="Q90" s="21">
        <f>'Hypothèses de coûts'!M29</f>
        <v>280000</v>
      </c>
    </row>
    <row r="91" spans="2:17" ht="15.75" hidden="1" outlineLevel="1" x14ac:dyDescent="0.5">
      <c r="B91" s="22"/>
      <c r="C91" s="17"/>
      <c r="D91" s="22"/>
      <c r="E91" s="23"/>
      <c r="F91" s="22"/>
      <c r="G91" s="23"/>
      <c r="H91" s="21"/>
      <c r="I91" s="22"/>
      <c r="J91" s="21"/>
      <c r="K91" s="22"/>
      <c r="L91" s="21"/>
      <c r="M91" s="21"/>
      <c r="N91" s="21"/>
      <c r="O91" s="21"/>
      <c r="P91" s="21"/>
      <c r="Q91" s="21"/>
    </row>
    <row r="92" spans="2:17" ht="15.75" collapsed="1" x14ac:dyDescent="0.5">
      <c r="B92" s="22"/>
      <c r="C92" s="42"/>
      <c r="D92" s="22"/>
      <c r="E92" s="23"/>
      <c r="F92" s="22"/>
      <c r="G92" s="94" t="s">
        <v>24</v>
      </c>
      <c r="H92" s="43">
        <f t="shared" ref="H92:Q92" si="14">SUM(H83:H90)</f>
        <v>0</v>
      </c>
      <c r="I92" s="43">
        <f t="shared" si="14"/>
        <v>0</v>
      </c>
      <c r="J92" s="43">
        <f t="shared" si="14"/>
        <v>190000</v>
      </c>
      <c r="K92" s="43">
        <f t="shared" si="14"/>
        <v>340000</v>
      </c>
      <c r="L92" s="43">
        <f t="shared" si="14"/>
        <v>1340000</v>
      </c>
      <c r="M92" s="43">
        <f t="shared" si="14"/>
        <v>1990000</v>
      </c>
      <c r="N92" s="43">
        <f t="shared" si="14"/>
        <v>2845000</v>
      </c>
      <c r="O92" s="43">
        <f t="shared" si="14"/>
        <v>3358000</v>
      </c>
      <c r="P92" s="43">
        <f t="shared" si="14"/>
        <v>3973600</v>
      </c>
      <c r="Q92" s="43">
        <f t="shared" si="14"/>
        <v>4712320</v>
      </c>
    </row>
    <row r="93" spans="2:17" ht="16.149999999999999" thickBot="1" x14ac:dyDescent="0.55000000000000004">
      <c r="B93" s="22"/>
      <c r="C93" s="17"/>
      <c r="D93" s="22"/>
      <c r="E93" s="23"/>
      <c r="F93" s="22"/>
      <c r="G93" s="23"/>
      <c r="H93" s="21"/>
      <c r="I93" s="22"/>
      <c r="J93" s="21"/>
      <c r="K93" s="22"/>
      <c r="L93" s="21"/>
      <c r="M93" s="21"/>
      <c r="N93" s="21"/>
      <c r="O93" s="21"/>
      <c r="P93" s="21"/>
      <c r="Q93" s="21"/>
    </row>
    <row r="94" spans="2:17" ht="16.149999999999999" thickBot="1" x14ac:dyDescent="0.55000000000000004">
      <c r="B94" s="22"/>
      <c r="C94" s="95"/>
      <c r="D94" s="96"/>
      <c r="E94" s="97"/>
      <c r="F94" s="96"/>
      <c r="G94" s="97" t="s">
        <v>99</v>
      </c>
      <c r="H94" s="99">
        <f t="shared" ref="H94:Q94" si="15">H33+H72+H81+H92</f>
        <v>302535.88</v>
      </c>
      <c r="I94" s="99">
        <f t="shared" si="15"/>
        <v>768428.91450000007</v>
      </c>
      <c r="J94" s="99">
        <f t="shared" si="15"/>
        <v>1322657.8446</v>
      </c>
      <c r="K94" s="99">
        <f t="shared" si="15"/>
        <v>1696127.5922000001</v>
      </c>
      <c r="L94" s="100">
        <f t="shared" si="15"/>
        <v>3156622.8096000003</v>
      </c>
      <c r="M94" s="100">
        <f t="shared" si="15"/>
        <v>4002982.3930000002</v>
      </c>
      <c r="N94" s="100">
        <f t="shared" si="15"/>
        <v>5020230.4240000006</v>
      </c>
      <c r="O94" s="100">
        <f t="shared" si="15"/>
        <v>5696547.9250999996</v>
      </c>
      <c r="P94" s="100">
        <f t="shared" si="15"/>
        <v>6422256.4000000004</v>
      </c>
      <c r="Q94" s="100">
        <f t="shared" si="15"/>
        <v>7271065.6458000001</v>
      </c>
    </row>
    <row r="95" spans="2:17" s="78" customFormat="1" ht="16.149999999999999" thickBot="1" x14ac:dyDescent="0.55000000000000004">
      <c r="B95" s="22"/>
      <c r="C95" s="385"/>
      <c r="D95" s="386"/>
      <c r="E95" s="387"/>
      <c r="F95" s="386"/>
      <c r="G95" s="23" t="s">
        <v>281</v>
      </c>
      <c r="H95" s="388">
        <f>H97/H18</f>
        <v>0.39492823999999999</v>
      </c>
      <c r="I95" s="388">
        <f t="shared" ref="I95:Q95" si="16">I97/I18</f>
        <v>-0.25774681128223181</v>
      </c>
      <c r="J95" s="388">
        <f t="shared" si="16"/>
        <v>-8.5112350523783131E-2</v>
      </c>
      <c r="K95" s="388">
        <f t="shared" si="16"/>
        <v>0.20030414009035299</v>
      </c>
      <c r="L95" s="389">
        <f t="shared" si="16"/>
        <v>0.10394298430178962</v>
      </c>
      <c r="M95" s="389">
        <f t="shared" si="16"/>
        <v>0.15288263220449283</v>
      </c>
      <c r="N95" s="389">
        <f t="shared" si="16"/>
        <v>0.21868128434604786</v>
      </c>
      <c r="O95" s="389">
        <f t="shared" si="16"/>
        <v>0.33421416208184751</v>
      </c>
      <c r="P95" s="389">
        <f t="shared" si="16"/>
        <v>0.43051994814979944</v>
      </c>
      <c r="Q95" s="389">
        <f t="shared" si="16"/>
        <v>0.45009648361250704</v>
      </c>
    </row>
    <row r="96" spans="2:17" ht="16.149999999999999" thickBot="1" x14ac:dyDescent="0.55000000000000004">
      <c r="B96" s="22"/>
      <c r="C96" s="53"/>
      <c r="D96" s="22"/>
      <c r="E96" s="23"/>
      <c r="F96" s="22"/>
      <c r="G96" s="23" t="s">
        <v>271</v>
      </c>
      <c r="H96" s="311" t="e">
        <f>(H97-H14)/H12</f>
        <v>#DIV/0!</v>
      </c>
      <c r="I96" s="311">
        <f t="shared" ref="I96:Q96" si="17">(I97-I14)/I12</f>
        <v>-0.67005669509803933</v>
      </c>
      <c r="J96" s="311">
        <f t="shared" si="17"/>
        <v>-0.46005671039215679</v>
      </c>
      <c r="K96" s="311">
        <f t="shared" si="17"/>
        <v>-9.9634304040403521E-3</v>
      </c>
      <c r="L96" s="311">
        <f t="shared" si="17"/>
        <v>-0.11670492510903435</v>
      </c>
      <c r="M96" s="311">
        <f t="shared" si="17"/>
        <v>-1.5405961949265775E-2</v>
      </c>
      <c r="N96" s="311">
        <f t="shared" si="17"/>
        <v>9.3784744963019598E-2</v>
      </c>
      <c r="O96" s="311">
        <f t="shared" si="17"/>
        <v>0.25363830116987041</v>
      </c>
      <c r="P96" s="311">
        <f t="shared" si="17"/>
        <v>0.3786785614302362</v>
      </c>
      <c r="Q96" s="311">
        <f t="shared" si="17"/>
        <v>0.40628456888052344</v>
      </c>
    </row>
    <row r="97" spans="2:17" ht="16.149999999999999" thickBot="1" x14ac:dyDescent="0.55000000000000004">
      <c r="B97" s="47"/>
      <c r="C97" s="340" t="s">
        <v>25</v>
      </c>
      <c r="D97" s="341"/>
      <c r="E97" s="341"/>
      <c r="F97" s="341"/>
      <c r="G97" s="341"/>
      <c r="H97" s="32">
        <f t="shared" ref="H97:Q97" si="18">H27-H94</f>
        <v>197464.12</v>
      </c>
      <c r="I97" s="33">
        <f t="shared" si="18"/>
        <v>-174542.61050000007</v>
      </c>
      <c r="J97" s="33">
        <f t="shared" si="18"/>
        <v>-116812.08459999994</v>
      </c>
      <c r="K97" s="33">
        <f t="shared" si="18"/>
        <v>500882.56780000008</v>
      </c>
      <c r="L97" s="34">
        <f t="shared" si="18"/>
        <v>415817.72799999965</v>
      </c>
      <c r="M97" s="34">
        <f t="shared" si="18"/>
        <v>823545.01499999966</v>
      </c>
      <c r="N97" s="34">
        <f t="shared" si="18"/>
        <v>1591224.9583999999</v>
      </c>
      <c r="O97" s="34">
        <f t="shared" si="18"/>
        <v>3288423.3100999994</v>
      </c>
      <c r="P97" s="34">
        <f t="shared" si="18"/>
        <v>5771700.9759999998</v>
      </c>
      <c r="Q97" s="34">
        <f t="shared" si="18"/>
        <v>7156799.0669999998</v>
      </c>
    </row>
    <row r="98" spans="2:17" ht="15.75" x14ac:dyDescent="0.5">
      <c r="B98" s="47"/>
      <c r="C98" s="48"/>
      <c r="D98" s="54"/>
      <c r="E98" s="54"/>
      <c r="F98" s="55"/>
      <c r="G98" s="56"/>
      <c r="H98" s="51"/>
      <c r="I98" s="52"/>
      <c r="J98" s="51"/>
      <c r="K98" s="52"/>
      <c r="L98" s="51"/>
      <c r="M98" s="51"/>
      <c r="N98" s="51"/>
      <c r="O98" s="51"/>
      <c r="P98" s="51"/>
      <c r="Q98" s="51"/>
    </row>
    <row r="99" spans="2:17" ht="15.75" hidden="1" outlineLevel="1" x14ac:dyDescent="0.5">
      <c r="B99" s="22"/>
      <c r="C99" s="17" t="s">
        <v>199</v>
      </c>
      <c r="D99" s="22"/>
      <c r="E99" s="23"/>
      <c r="F99" s="22"/>
      <c r="G99" s="23"/>
      <c r="H99" s="21">
        <f>'Balance Sheet'!H7*12/'Hypothèses de CAPEX'!$E$10</f>
        <v>22497.200000000001</v>
      </c>
      <c r="I99" s="21">
        <f>'Balance Sheet'!I7*12/'Hypothèses de CAPEX'!$E$10</f>
        <v>17997.760000000002</v>
      </c>
      <c r="J99" s="21">
        <f>'Balance Sheet'!J7*12/'Hypothèses de CAPEX'!$E$10</f>
        <v>47835.468799999995</v>
      </c>
      <c r="K99" s="21">
        <f>'Balance Sheet'!K7*12/'Hypothèses de CAPEX'!$E$10</f>
        <v>108757.52703999999</v>
      </c>
      <c r="L99" s="21">
        <f>'Balance Sheet'!L7*12/'Hypothèses de CAPEX'!$E$10</f>
        <v>191128.05363199997</v>
      </c>
      <c r="M99" s="21">
        <f>'Balance Sheet'!M7*12/'Hypothèses de CAPEX'!$E$10</f>
        <v>310990.55042560003</v>
      </c>
      <c r="N99" s="21">
        <f>'Balance Sheet'!N7*12/'Hypothèses de CAPEX'!$E$10</f>
        <v>427348.32194047997</v>
      </c>
      <c r="O99" s="21">
        <f>'Balance Sheet'!O7*12/'Hypothèses de CAPEX'!$E$10</f>
        <v>542450.05403238407</v>
      </c>
      <c r="P99" s="21">
        <f>'Balance Sheet'!P7*12/'Hypothèses de CAPEX'!$E$10</f>
        <v>646406.00226590736</v>
      </c>
      <c r="Q99" s="21">
        <f>'Balance Sheet'!Q7*12/'Hypothèses de CAPEX'!$E$10</f>
        <v>740842.74101272586</v>
      </c>
    </row>
    <row r="100" spans="2:17" ht="15.75" hidden="1" outlineLevel="1" x14ac:dyDescent="0.5">
      <c r="B100" s="22"/>
      <c r="C100" s="17" t="s">
        <v>196</v>
      </c>
      <c r="D100" s="22"/>
      <c r="E100" s="23"/>
      <c r="F100" s="22"/>
      <c r="G100" s="23"/>
      <c r="H100" s="21">
        <f>('Balance Sheet'!I8+'Balance Sheet'!I9+'Balance Sheet'!I10)*12/'Hypothèses de CAPEX'!$E$3</f>
        <v>133333.33333333334</v>
      </c>
      <c r="I100" s="21">
        <f>('Balance Sheet'!J8+'Balance Sheet'!J9+'Balance Sheet'!J10)*12/'Hypothèses de CAPEX'!$E$3</f>
        <v>139500</v>
      </c>
      <c r="J100" s="21">
        <f>('Balance Sheet'!K8+'Balance Sheet'!K9+'Balance Sheet'!K10)*12/'Hypothèses de CAPEX'!$E$3</f>
        <v>145965</v>
      </c>
      <c r="K100" s="21">
        <f>('Balance Sheet'!L8+'Balance Sheet'!L9+'Balance Sheet'!L10)*12/'Hypothèses de CAPEX'!$E$3</f>
        <v>152743.05000000002</v>
      </c>
      <c r="L100" s="21">
        <f>('Balance Sheet'!M8+'Balance Sheet'!M9+'Balance Sheet'!M10)*12/'Hypothèses de CAPEX'!$E$3</f>
        <v>159849.59849999999</v>
      </c>
      <c r="M100" s="21">
        <f>('Balance Sheet'!N8+'Balance Sheet'!N9+'Balance Sheet'!N10)*12/'Hypothèses de CAPEX'!$E$3</f>
        <v>167300.86234500003</v>
      </c>
      <c r="N100" s="21">
        <f>('Balance Sheet'!O8+'Balance Sheet'!O9+'Balance Sheet'!O10)*12/'Hypothèses de CAPEX'!$E$3</f>
        <v>175113.86506065002</v>
      </c>
      <c r="O100" s="21">
        <f>('Balance Sheet'!P8+'Balance Sheet'!P9+'Balance Sheet'!P10)*12/'Hypothèses de CAPEX'!$E$3</f>
        <v>183306.47710405051</v>
      </c>
      <c r="P100" s="21">
        <f>('Balance Sheet'!Q8+'Balance Sheet'!Q9+'Balance Sheet'!Q10)*12/'Hypothèses de CAPEX'!$E$3</f>
        <v>191897.45812542838</v>
      </c>
      <c r="Q100" s="21">
        <f>('Balance Sheet'!R8+'Balance Sheet'!R9+'Balance Sheet'!R10)*12/'Hypothèses de CAPEX'!$E$3</f>
        <v>200906.50134119869</v>
      </c>
    </row>
    <row r="101" spans="2:17" ht="15.75" hidden="1" outlineLevel="1" x14ac:dyDescent="0.5">
      <c r="B101" s="22"/>
      <c r="C101" s="17" t="s">
        <v>200</v>
      </c>
      <c r="D101" s="22"/>
      <c r="E101" s="23"/>
      <c r="F101" s="22"/>
      <c r="G101" s="23"/>
      <c r="H101" s="21">
        <f>'Balance Sheet'!I12*12/'Hypothèses de CAPEX'!$E$6</f>
        <v>5000</v>
      </c>
      <c r="I101" s="21">
        <f>'Balance Sheet'!J12*12/'Hypothèses de CAPEX'!$E$6</f>
        <v>10000</v>
      </c>
      <c r="J101" s="21">
        <f>'Balance Sheet'!K12*12/'Hypothèses de CAPEX'!$E$6</f>
        <v>15000</v>
      </c>
      <c r="K101" s="21">
        <f>'Balance Sheet'!L12*12/'Hypothèses de CAPEX'!$E$6</f>
        <v>16000</v>
      </c>
      <c r="L101" s="21">
        <f>'Balance Sheet'!M12*12/'Hypothèses de CAPEX'!$E$6</f>
        <v>19000</v>
      </c>
      <c r="M101" s="21">
        <f>'Balance Sheet'!N12*12/'Hypothèses de CAPEX'!$E$6</f>
        <v>20000</v>
      </c>
      <c r="N101" s="21">
        <f>'Balance Sheet'!O12*12/'Hypothèses de CAPEX'!$E$6</f>
        <v>21500</v>
      </c>
      <c r="O101" s="21">
        <f>'Balance Sheet'!P12*12/'Hypothèses de CAPEX'!$E$6</f>
        <v>22000</v>
      </c>
      <c r="P101" s="21">
        <f>'Balance Sheet'!Q12*12/'Hypothèses de CAPEX'!$E$6</f>
        <v>23000</v>
      </c>
      <c r="Q101" s="21">
        <f>'Balance Sheet'!R12*12/'Hypothèses de CAPEX'!$E$6</f>
        <v>24000</v>
      </c>
    </row>
    <row r="102" spans="2:17" ht="15.75" hidden="1" outlineLevel="1" x14ac:dyDescent="0.5">
      <c r="B102" s="22"/>
      <c r="C102" s="17"/>
      <c r="D102" s="22"/>
      <c r="E102" s="23"/>
      <c r="F102" s="22"/>
      <c r="G102" s="23"/>
      <c r="H102" s="21"/>
      <c r="I102" s="22"/>
      <c r="J102" s="21"/>
      <c r="K102" s="22"/>
      <c r="L102" s="21"/>
      <c r="M102" s="21"/>
      <c r="N102" s="21"/>
      <c r="O102" s="21"/>
      <c r="P102" s="21"/>
      <c r="Q102" s="21"/>
    </row>
    <row r="103" spans="2:17" ht="15.75" collapsed="1" x14ac:dyDescent="0.5">
      <c r="B103" s="22"/>
      <c r="C103" s="57" t="s">
        <v>26</v>
      </c>
      <c r="D103" s="22"/>
      <c r="E103" s="23"/>
      <c r="F103" s="22"/>
      <c r="G103" s="23"/>
      <c r="H103" s="43">
        <f t="shared" ref="H103:Q103" si="19">SUM(H99:H101)</f>
        <v>160830.53333333335</v>
      </c>
      <c r="I103" s="43">
        <f t="shared" si="19"/>
        <v>167497.76</v>
      </c>
      <c r="J103" s="43">
        <f t="shared" si="19"/>
        <v>208800.4688</v>
      </c>
      <c r="K103" s="43">
        <f t="shared" si="19"/>
        <v>277500.57704</v>
      </c>
      <c r="L103" s="43">
        <f t="shared" si="19"/>
        <v>369977.65213199996</v>
      </c>
      <c r="M103" s="43">
        <f t="shared" si="19"/>
        <v>498291.41277060006</v>
      </c>
      <c r="N103" s="43">
        <f t="shared" si="19"/>
        <v>623962.18700112996</v>
      </c>
      <c r="O103" s="43">
        <f t="shared" si="19"/>
        <v>747756.53113643453</v>
      </c>
      <c r="P103" s="43">
        <f t="shared" si="19"/>
        <v>861303.46039133577</v>
      </c>
      <c r="Q103" s="43">
        <f t="shared" si="19"/>
        <v>965749.24235392455</v>
      </c>
    </row>
    <row r="104" spans="2:17" ht="16.149999999999999" thickBot="1" x14ac:dyDescent="0.55000000000000004">
      <c r="B104" s="22"/>
      <c r="C104" s="57"/>
      <c r="D104" s="22"/>
      <c r="E104" s="23"/>
      <c r="F104" s="22"/>
      <c r="G104" s="23"/>
      <c r="H104" s="58"/>
      <c r="I104" s="58"/>
      <c r="J104" s="58"/>
      <c r="K104" s="58"/>
      <c r="L104" s="58"/>
      <c r="M104" s="58"/>
      <c r="N104" s="58"/>
      <c r="O104" s="58"/>
      <c r="P104" s="58"/>
      <c r="Q104" s="58"/>
    </row>
    <row r="105" spans="2:17" ht="16.149999999999999" thickBot="1" x14ac:dyDescent="0.55000000000000004">
      <c r="B105" s="47"/>
      <c r="C105" s="340" t="s">
        <v>27</v>
      </c>
      <c r="D105" s="341"/>
      <c r="E105" s="341"/>
      <c r="F105" s="341"/>
      <c r="G105" s="341"/>
      <c r="H105" s="32">
        <f t="shared" ref="H105:Q105" si="20">H97-H103</f>
        <v>36633.586666666641</v>
      </c>
      <c r="I105" s="33">
        <f t="shared" si="20"/>
        <v>-342040.37050000008</v>
      </c>
      <c r="J105" s="33">
        <f t="shared" si="20"/>
        <v>-325612.55339999998</v>
      </c>
      <c r="K105" s="33">
        <f t="shared" si="20"/>
        <v>223381.99076000007</v>
      </c>
      <c r="L105" s="34">
        <f t="shared" si="20"/>
        <v>45840.075867999694</v>
      </c>
      <c r="M105" s="34">
        <f t="shared" si="20"/>
        <v>325253.60222939961</v>
      </c>
      <c r="N105" s="34">
        <f t="shared" si="20"/>
        <v>967262.77139886993</v>
      </c>
      <c r="O105" s="34">
        <f t="shared" si="20"/>
        <v>2540666.7789635649</v>
      </c>
      <c r="P105" s="34">
        <f t="shared" si="20"/>
        <v>4910397.5156086637</v>
      </c>
      <c r="Q105" s="34">
        <f t="shared" si="20"/>
        <v>6191049.8246460753</v>
      </c>
    </row>
    <row r="106" spans="2:17" ht="16.149999999999999" thickBot="1" x14ac:dyDescent="0.55000000000000004">
      <c r="B106" s="22"/>
      <c r="C106" s="17"/>
      <c r="D106" s="22"/>
      <c r="E106" s="23"/>
      <c r="F106" s="22"/>
      <c r="G106" s="23"/>
      <c r="H106" s="38"/>
      <c r="I106" s="39"/>
      <c r="J106" s="38"/>
      <c r="K106" s="39"/>
      <c r="L106" s="38"/>
      <c r="M106" s="38"/>
      <c r="N106" s="38"/>
      <c r="O106" s="38"/>
      <c r="P106" s="38"/>
      <c r="Q106" s="38"/>
    </row>
    <row r="107" spans="2:17" ht="15.75" hidden="1" outlineLevel="2" x14ac:dyDescent="0.5">
      <c r="B107" s="22"/>
      <c r="C107" s="17" t="s">
        <v>28</v>
      </c>
      <c r="D107" s="22"/>
      <c r="E107" s="23"/>
      <c r="F107" s="22"/>
      <c r="G107" s="23"/>
      <c r="H107" s="21">
        <f>SUM('Amortissement dettes'!E11:E19)</f>
        <v>1751.4098357667276</v>
      </c>
      <c r="I107" s="22">
        <f>SUM('Amortissement dettes'!E20:E31)</f>
        <v>1901.4440053645421</v>
      </c>
      <c r="J107" s="21">
        <f>SUM('Amortissement dettes'!E32:E43)+'Amortissement dettes'!L4*'Amortissement dettes'!L8</f>
        <v>1903.4307797841116</v>
      </c>
      <c r="K107" s="22">
        <f>SUM('Amortissement dettes'!E44:E55)+'Amortissement dettes'!L4*'Amortissement dettes'!L8</f>
        <v>1402.921773741243</v>
      </c>
      <c r="L107" s="21">
        <f>SUM('Amortissement dettes'!E56:E67)+SUM('Amortissement dettes'!L11:L22)</f>
        <v>854.17102192721291</v>
      </c>
      <c r="M107" s="21">
        <f>SUM('Amortissement dettes'!E68:E70)+SUM('Amortissement dettes'!L23:L34)</f>
        <v>375.50521117108252</v>
      </c>
      <c r="N107" s="21">
        <f>SUM('Amortissement dettes'!L35:L46)</f>
        <v>254.47492496082145</v>
      </c>
      <c r="O107" s="21">
        <f>SUM('Amortissement dettes'!L47:L58)</f>
        <v>154.42917893105707</v>
      </c>
      <c r="P107" s="21">
        <f>SUM('Amortissement dettes'!L59:L70)</f>
        <v>54.283341288222935</v>
      </c>
      <c r="Q107" s="21"/>
    </row>
    <row r="108" spans="2:17" ht="15.75" hidden="1" outlineLevel="2" x14ac:dyDescent="0.5">
      <c r="B108" s="22"/>
      <c r="C108" s="17"/>
      <c r="D108" s="22"/>
      <c r="E108" s="23"/>
      <c r="F108" s="22"/>
      <c r="G108" s="23"/>
      <c r="H108" s="21"/>
      <c r="I108" s="22"/>
      <c r="J108" s="21"/>
      <c r="K108" s="22"/>
      <c r="L108" s="21"/>
      <c r="M108" s="21"/>
      <c r="N108" s="21"/>
      <c r="O108" s="21"/>
      <c r="P108" s="21"/>
      <c r="Q108" s="21"/>
    </row>
    <row r="109" spans="2:17" ht="16.149999999999999" hidden="1" outlineLevel="2" thickBot="1" x14ac:dyDescent="0.55000000000000004">
      <c r="B109" s="22"/>
      <c r="C109" s="42" t="s">
        <v>29</v>
      </c>
      <c r="D109" s="22"/>
      <c r="E109" s="23"/>
      <c r="F109" s="22"/>
      <c r="G109" s="23"/>
      <c r="H109" s="59">
        <f>-H107</f>
        <v>-1751.4098357667276</v>
      </c>
      <c r="I109" s="59">
        <f t="shared" ref="I109:Q109" si="21">-I107</f>
        <v>-1901.4440053645421</v>
      </c>
      <c r="J109" s="59">
        <f t="shared" si="21"/>
        <v>-1903.4307797841116</v>
      </c>
      <c r="K109" s="59">
        <f t="shared" si="21"/>
        <v>-1402.921773741243</v>
      </c>
      <c r="L109" s="59">
        <f t="shared" si="21"/>
        <v>-854.17102192721291</v>
      </c>
      <c r="M109" s="59">
        <f t="shared" si="21"/>
        <v>-375.50521117108252</v>
      </c>
      <c r="N109" s="59">
        <f t="shared" si="21"/>
        <v>-254.47492496082145</v>
      </c>
      <c r="O109" s="59">
        <f t="shared" si="21"/>
        <v>-154.42917893105707</v>
      </c>
      <c r="P109" s="59">
        <f t="shared" si="21"/>
        <v>-54.283341288222935</v>
      </c>
      <c r="Q109" s="59">
        <f t="shared" si="21"/>
        <v>0</v>
      </c>
    </row>
    <row r="110" spans="2:17" ht="16.149999999999999" hidden="1" outlineLevel="2" thickBot="1" x14ac:dyDescent="0.55000000000000004">
      <c r="B110" s="47"/>
      <c r="C110" s="340" t="s">
        <v>30</v>
      </c>
      <c r="D110" s="341"/>
      <c r="E110" s="341"/>
      <c r="F110" s="341"/>
      <c r="G110" s="341"/>
      <c r="H110" s="32">
        <f t="shared" ref="H110:Q110" si="22">H105+H109</f>
        <v>34882.176830899916</v>
      </c>
      <c r="I110" s="33">
        <f t="shared" si="22"/>
        <v>-343941.81450536463</v>
      </c>
      <c r="J110" s="33">
        <f t="shared" si="22"/>
        <v>-327515.98417978408</v>
      </c>
      <c r="K110" s="33">
        <f t="shared" si="22"/>
        <v>221979.06898625882</v>
      </c>
      <c r="L110" s="34">
        <f t="shared" si="22"/>
        <v>44985.904846072481</v>
      </c>
      <c r="M110" s="34">
        <f t="shared" si="22"/>
        <v>324878.09701822855</v>
      </c>
      <c r="N110" s="34">
        <f t="shared" si="22"/>
        <v>967008.29647390905</v>
      </c>
      <c r="O110" s="34">
        <f t="shared" si="22"/>
        <v>2540512.3497846336</v>
      </c>
      <c r="P110" s="34">
        <f t="shared" si="22"/>
        <v>4910343.2322673751</v>
      </c>
      <c r="Q110" s="34">
        <f t="shared" si="22"/>
        <v>6191049.8246460753</v>
      </c>
    </row>
    <row r="111" spans="2:17" ht="15.75" hidden="1" outlineLevel="2" x14ac:dyDescent="0.5">
      <c r="B111" s="16"/>
      <c r="C111" s="17" t="s">
        <v>31</v>
      </c>
      <c r="D111" s="22"/>
      <c r="E111" s="23"/>
      <c r="F111" s="22"/>
      <c r="G111" s="23"/>
      <c r="H111" s="38"/>
      <c r="I111" s="22"/>
      <c r="J111" s="38"/>
      <c r="K111" s="22"/>
      <c r="L111" s="38"/>
      <c r="M111" s="38"/>
      <c r="N111" s="38"/>
      <c r="O111" s="38"/>
      <c r="P111" s="38"/>
      <c r="Q111" s="38"/>
    </row>
    <row r="112" spans="2:17" ht="15.75" hidden="1" outlineLevel="2" x14ac:dyDescent="0.5">
      <c r="B112" s="22"/>
      <c r="C112" s="17" t="s">
        <v>32</v>
      </c>
      <c r="D112" s="22"/>
      <c r="E112" s="23"/>
      <c r="F112" s="22"/>
      <c r="G112" s="23"/>
      <c r="H112" s="21"/>
      <c r="I112" s="22"/>
      <c r="J112" s="21"/>
      <c r="K112" s="22"/>
      <c r="L112" s="21"/>
      <c r="M112" s="21"/>
      <c r="N112" s="21"/>
      <c r="O112" s="21"/>
      <c r="P112" s="21"/>
      <c r="Q112" s="21"/>
    </row>
    <row r="113" spans="2:17" ht="15.75" hidden="1" outlineLevel="2" x14ac:dyDescent="0.5">
      <c r="B113" s="22"/>
      <c r="C113" s="17"/>
      <c r="D113" s="22"/>
      <c r="E113" s="23"/>
      <c r="F113" s="22"/>
      <c r="G113" s="23"/>
      <c r="H113" s="21"/>
      <c r="I113" s="22"/>
      <c r="J113" s="21"/>
      <c r="K113" s="22"/>
      <c r="L113" s="21"/>
      <c r="M113" s="21"/>
      <c r="N113" s="21"/>
      <c r="O113" s="21"/>
      <c r="P113" s="21"/>
      <c r="Q113" s="21"/>
    </row>
    <row r="114" spans="2:17" ht="16.149999999999999" hidden="1" outlineLevel="2" thickBot="1" x14ac:dyDescent="0.55000000000000004">
      <c r="B114" s="22"/>
      <c r="C114" s="42" t="s">
        <v>33</v>
      </c>
      <c r="D114" s="22"/>
      <c r="E114" s="23"/>
      <c r="F114" s="22"/>
      <c r="G114" s="23"/>
      <c r="H114" s="59"/>
      <c r="I114" s="16"/>
      <c r="J114" s="59"/>
      <c r="K114" s="16"/>
      <c r="L114" s="59"/>
      <c r="M114" s="59"/>
      <c r="N114" s="59"/>
      <c r="O114" s="59"/>
      <c r="P114" s="59"/>
      <c r="Q114" s="59"/>
    </row>
    <row r="115" spans="2:17" ht="16.149999999999999" collapsed="1" thickBot="1" x14ac:dyDescent="0.55000000000000004">
      <c r="B115" s="47"/>
      <c r="C115" s="340" t="s">
        <v>246</v>
      </c>
      <c r="D115" s="341"/>
      <c r="E115" s="341"/>
      <c r="F115" s="341"/>
      <c r="G115" s="341"/>
      <c r="H115" s="32">
        <f t="shared" ref="H115:Q115" si="23">H110-H114</f>
        <v>34882.176830899916</v>
      </c>
      <c r="I115" s="33">
        <f t="shared" si="23"/>
        <v>-343941.81450536463</v>
      </c>
      <c r="J115" s="33">
        <f t="shared" si="23"/>
        <v>-327515.98417978408</v>
      </c>
      <c r="K115" s="33">
        <f t="shared" si="23"/>
        <v>221979.06898625882</v>
      </c>
      <c r="L115" s="34">
        <f t="shared" si="23"/>
        <v>44985.904846072481</v>
      </c>
      <c r="M115" s="34">
        <f t="shared" si="23"/>
        <v>324878.09701822855</v>
      </c>
      <c r="N115" s="34">
        <f t="shared" si="23"/>
        <v>967008.29647390905</v>
      </c>
      <c r="O115" s="34">
        <f t="shared" si="23"/>
        <v>2540512.3497846336</v>
      </c>
      <c r="P115" s="34">
        <f t="shared" si="23"/>
        <v>4910343.2322673751</v>
      </c>
      <c r="Q115" s="34">
        <f t="shared" si="23"/>
        <v>6191049.8246460753</v>
      </c>
    </row>
    <row r="116" spans="2:17" ht="15.75" x14ac:dyDescent="0.5">
      <c r="B116" s="22"/>
      <c r="C116" s="17" t="s">
        <v>202</v>
      </c>
      <c r="D116" s="22"/>
      <c r="E116" s="23"/>
      <c r="F116" s="22"/>
      <c r="G116" s="23"/>
      <c r="H116" s="38">
        <f>15%*38120+28%*(H115-38120)</f>
        <v>4811.4095126519769</v>
      </c>
      <c r="I116" s="38">
        <f>28%*(I115)</f>
        <v>-96303.708061502111</v>
      </c>
      <c r="J116" s="38">
        <f>28%*(J115)</f>
        <v>-91704.475570339549</v>
      </c>
      <c r="K116" s="38">
        <f t="shared" ref="K116:Q116" si="24">15%*38120+28%*(K115-38120)</f>
        <v>57198.539316152477</v>
      </c>
      <c r="L116" s="38">
        <f t="shared" si="24"/>
        <v>7640.4533569002942</v>
      </c>
      <c r="M116" s="38">
        <f t="shared" si="24"/>
        <v>86010.267165104</v>
      </c>
      <c r="N116" s="38">
        <f t="shared" si="24"/>
        <v>265806.72301269457</v>
      </c>
      <c r="O116" s="38">
        <f t="shared" si="24"/>
        <v>706387.85793969745</v>
      </c>
      <c r="P116" s="38">
        <f t="shared" si="24"/>
        <v>1369940.5050348651</v>
      </c>
      <c r="Q116" s="38">
        <f t="shared" si="24"/>
        <v>1728538.3509009012</v>
      </c>
    </row>
    <row r="117" spans="2:17" ht="15.75" x14ac:dyDescent="0.5">
      <c r="B117" s="22"/>
      <c r="C117" s="17" t="s">
        <v>203</v>
      </c>
      <c r="D117" s="22"/>
      <c r="E117" s="23"/>
      <c r="F117" s="22"/>
      <c r="G117" s="23"/>
      <c r="H117" s="21">
        <f>'Calcul du CIR'!D31</f>
        <v>0</v>
      </c>
      <c r="I117" s="22">
        <f>'Calcul du CIR'!E31</f>
        <v>0</v>
      </c>
      <c r="J117" s="21">
        <f>'Calcul du CIR'!F31</f>
        <v>60211.007999999994</v>
      </c>
      <c r="K117" s="22">
        <f>'Calcul du CIR'!G31</f>
        <v>223118.64</v>
      </c>
      <c r="L117" s="21">
        <f>'Calcul du CIR'!H31</f>
        <v>296415.20159999991</v>
      </c>
      <c r="M117" s="21">
        <f>'Calcul du CIR'!I31</f>
        <v>334792.27799999999</v>
      </c>
      <c r="N117" s="21">
        <f>'Calcul du CIR'!J31</f>
        <v>376071.36840000004</v>
      </c>
      <c r="O117" s="21">
        <f>'Calcul du CIR'!K31</f>
        <v>398336.17319999996</v>
      </c>
      <c r="P117" s="21">
        <f>'Calcul du CIR'!L31</f>
        <v>419471.136</v>
      </c>
      <c r="Q117" s="21">
        <f>'Calcul du CIR'!M31</f>
        <v>440005.76730000007</v>
      </c>
    </row>
    <row r="118" spans="2:17" ht="16.149999999999999" thickBot="1" x14ac:dyDescent="0.55000000000000004">
      <c r="B118" s="22"/>
      <c r="C118" s="17"/>
      <c r="D118" s="22"/>
      <c r="E118" s="23"/>
      <c r="F118" s="22"/>
      <c r="G118" s="23"/>
      <c r="H118" s="30"/>
      <c r="I118" s="26"/>
      <c r="J118" s="30"/>
      <c r="K118" s="26"/>
      <c r="L118" s="30"/>
      <c r="M118" s="30"/>
      <c r="N118" s="30"/>
      <c r="O118" s="30"/>
      <c r="P118" s="30"/>
      <c r="Q118" s="30"/>
    </row>
    <row r="119" spans="2:17" ht="16.149999999999999" thickBot="1" x14ac:dyDescent="0.55000000000000004">
      <c r="B119" s="47"/>
      <c r="C119" s="342" t="s">
        <v>34</v>
      </c>
      <c r="D119" s="343"/>
      <c r="E119" s="343"/>
      <c r="F119" s="343"/>
      <c r="G119" s="344"/>
      <c r="H119" s="292">
        <f t="shared" ref="H119:Q119" si="25">H115-H116+H117</f>
        <v>30070.767318247941</v>
      </c>
      <c r="I119" s="292">
        <f t="shared" si="25"/>
        <v>-247638.10644386252</v>
      </c>
      <c r="J119" s="62">
        <f t="shared" si="25"/>
        <v>-175600.50060944454</v>
      </c>
      <c r="K119" s="293">
        <f t="shared" si="25"/>
        <v>387899.16967010638</v>
      </c>
      <c r="L119" s="294">
        <f t="shared" si="25"/>
        <v>333760.65308917209</v>
      </c>
      <c r="M119" s="294">
        <f t="shared" si="25"/>
        <v>573660.10785312462</v>
      </c>
      <c r="N119" s="294">
        <f t="shared" si="25"/>
        <v>1077272.9418612146</v>
      </c>
      <c r="O119" s="294">
        <f t="shared" si="25"/>
        <v>2232460.6650449364</v>
      </c>
      <c r="P119" s="294">
        <f t="shared" si="25"/>
        <v>3959873.8632325102</v>
      </c>
      <c r="Q119" s="294">
        <f t="shared" si="25"/>
        <v>4902517.2410451742</v>
      </c>
    </row>
    <row r="120" spans="2:17" ht="15.75" x14ac:dyDescent="0.5">
      <c r="B120" s="22"/>
      <c r="C120" s="39"/>
      <c r="D120" s="63"/>
      <c r="E120" s="63"/>
      <c r="F120" s="63"/>
      <c r="G120" s="64"/>
      <c r="H120" s="65"/>
      <c r="I120" s="65"/>
      <c r="J120" s="65"/>
      <c r="K120" s="65"/>
      <c r="L120" s="65"/>
      <c r="M120" s="65"/>
    </row>
  </sheetData>
  <mergeCells count="8">
    <mergeCell ref="C115:G115"/>
    <mergeCell ref="C119:G119"/>
    <mergeCell ref="C3:G6"/>
    <mergeCell ref="C18:G18"/>
    <mergeCell ref="C27:G27"/>
    <mergeCell ref="C97:G97"/>
    <mergeCell ref="C105:G105"/>
    <mergeCell ref="C110:G110"/>
  </mergeCells>
  <conditionalFormatting sqref="H28:Q64 H26:Q26 H19:Q24 H70:Q93 H96:Q96 H98:Q119 H9:Q17">
    <cfRule type="cellIs" dxfId="32" priority="10" operator="lessThan">
      <formula>0</formula>
    </cfRule>
  </conditionalFormatting>
  <conditionalFormatting sqref="H65:Q69">
    <cfRule type="cellIs" dxfId="31" priority="6" operator="lessThan">
      <formula>0</formula>
    </cfRule>
  </conditionalFormatting>
  <conditionalFormatting sqref="H27:Q27">
    <cfRule type="cellIs" dxfId="30" priority="5" operator="lessThan">
      <formula>0</formula>
    </cfRule>
  </conditionalFormatting>
  <conditionalFormatting sqref="H94:Q95">
    <cfRule type="cellIs" dxfId="0" priority="3" operator="lessThan">
      <formula>0</formula>
    </cfRule>
  </conditionalFormatting>
  <conditionalFormatting sqref="H25:Q25">
    <cfRule type="cellIs" dxfId="29" priority="4" operator="lessThan">
      <formula>0</formula>
    </cfRule>
  </conditionalFormatting>
  <conditionalFormatting sqref="H18:Q18">
    <cfRule type="cellIs" dxfId="28" priority="2" operator="lessThan">
      <formula>0</formula>
    </cfRule>
  </conditionalFormatting>
  <conditionalFormatting sqref="H97:Q97">
    <cfRule type="cellIs" dxfId="27" priority="1" operator="lessThan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36A9F-4DDE-4221-BA84-EC27435FFDC0}">
  <dimension ref="C1:R74"/>
  <sheetViews>
    <sheetView zoomScale="90" zoomScaleNormal="90" workbookViewId="0">
      <pane xSplit="2" ySplit="2" topLeftCell="C12" activePane="bottomRight" state="frozen"/>
      <selection activeCell="A6" sqref="A6"/>
      <selection pane="topRight" activeCell="A6" sqref="A6"/>
      <selection pane="bottomLeft" activeCell="A6" sqref="A6"/>
      <selection pane="bottomRight" activeCell="T30" sqref="T30"/>
    </sheetView>
  </sheetViews>
  <sheetFormatPr baseColWidth="10" defaultColWidth="10.59765625" defaultRowHeight="11.65" x14ac:dyDescent="0.35"/>
  <cols>
    <col min="1" max="6" width="10.59765625" style="101"/>
    <col min="7" max="7" width="11.9296875" style="101" bestFit="1" customWidth="1"/>
    <col min="8" max="9" width="10.59765625" style="101"/>
    <col min="10" max="10" width="11.33203125" style="101" bestFit="1" customWidth="1"/>
    <col min="11" max="14" width="10.59765625" style="101"/>
    <col min="15" max="15" width="10.46484375" style="101" customWidth="1"/>
    <col min="16" max="16384" width="10.59765625" style="101"/>
  </cols>
  <sheetData>
    <row r="1" spans="3:18" ht="12" thickBot="1" x14ac:dyDescent="0.4"/>
    <row r="2" spans="3:18" ht="12" thickBot="1" x14ac:dyDescent="0.4">
      <c r="C2" s="360" t="s">
        <v>101</v>
      </c>
      <c r="D2" s="361"/>
      <c r="E2" s="361"/>
      <c r="F2" s="361"/>
      <c r="G2" s="361"/>
      <c r="H2" s="102">
        <v>2020</v>
      </c>
      <c r="I2" s="103">
        <v>2021</v>
      </c>
      <c r="J2" s="103">
        <v>2022</v>
      </c>
      <c r="K2" s="103">
        <v>2023</v>
      </c>
      <c r="L2" s="103">
        <v>2024</v>
      </c>
      <c r="M2" s="104">
        <v>2025</v>
      </c>
      <c r="N2" s="103">
        <v>2026</v>
      </c>
      <c r="O2" s="104">
        <v>2027</v>
      </c>
      <c r="P2" s="103">
        <v>2028</v>
      </c>
      <c r="Q2" s="104">
        <v>2029</v>
      </c>
      <c r="R2" s="103">
        <v>2030</v>
      </c>
    </row>
    <row r="3" spans="3:18" ht="14.65" customHeight="1" x14ac:dyDescent="0.35">
      <c r="C3" s="372" t="s">
        <v>102</v>
      </c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</row>
    <row r="4" spans="3:18" x14ac:dyDescent="0.35">
      <c r="C4" s="105"/>
      <c r="D4" s="106" t="s">
        <v>103</v>
      </c>
      <c r="E4" s="107"/>
      <c r="F4" s="107"/>
      <c r="G4" s="108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</row>
    <row r="5" spans="3:18" x14ac:dyDescent="0.35">
      <c r="C5" s="111" t="s">
        <v>105</v>
      </c>
      <c r="D5" s="112"/>
      <c r="E5" s="113"/>
      <c r="F5" s="113"/>
      <c r="G5" s="114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</row>
    <row r="6" spans="3:18" x14ac:dyDescent="0.35">
      <c r="C6" s="111" t="s">
        <v>106</v>
      </c>
      <c r="D6" s="106" t="s">
        <v>104</v>
      </c>
      <c r="E6" s="107"/>
      <c r="F6" s="107"/>
      <c r="G6" s="108"/>
      <c r="H6" s="109">
        <f t="shared" ref="H6:R6" si="0">SUM(H7:H10)</f>
        <v>112486</v>
      </c>
      <c r="I6" s="109">
        <f t="shared" si="0"/>
        <v>489988.8</v>
      </c>
      <c r="J6" s="109">
        <f t="shared" si="0"/>
        <v>657677.34400000004</v>
      </c>
      <c r="K6" s="109">
        <f t="shared" si="0"/>
        <v>981682.6351999999</v>
      </c>
      <c r="L6" s="109">
        <f t="shared" si="0"/>
        <v>1413869.4181599999</v>
      </c>
      <c r="M6" s="109">
        <f t="shared" si="0"/>
        <v>2034501.5476279999</v>
      </c>
      <c r="N6" s="109">
        <f t="shared" si="0"/>
        <v>2638644.1967373998</v>
      </c>
      <c r="O6" s="109">
        <f t="shared" si="0"/>
        <v>3237591.8653438701</v>
      </c>
      <c r="P6" s="109">
        <f t="shared" si="0"/>
        <v>3781949.442641688</v>
      </c>
      <c r="Q6" s="109">
        <f t="shared" si="0"/>
        <v>4279906.0794399148</v>
      </c>
      <c r="R6" s="109">
        <f t="shared" si="0"/>
        <v>4739439.1808745004</v>
      </c>
    </row>
    <row r="7" spans="3:18" x14ac:dyDescent="0.35">
      <c r="C7" s="111" t="s">
        <v>108</v>
      </c>
      <c r="D7" s="112"/>
      <c r="E7" s="113" t="s">
        <v>156</v>
      </c>
      <c r="F7" s="113"/>
      <c r="G7" s="114"/>
      <c r="H7" s="115">
        <v>112486</v>
      </c>
      <c r="I7" s="115">
        <f>H7+'Compte de résultat'!H14-'Compte de résultat'!H99</f>
        <v>89988.800000000003</v>
      </c>
      <c r="J7" s="115">
        <f>I7+'Compte de résultat'!I14-'Compte de résultat'!I99</f>
        <v>239177.34399999998</v>
      </c>
      <c r="K7" s="115">
        <f>J7+'Compte de résultat'!J14-'Compte de résultat'!J99</f>
        <v>543787.6351999999</v>
      </c>
      <c r="L7" s="115">
        <f>K7+'Compte de résultat'!K14-'Compte de résultat'!K99</f>
        <v>955640.26815999986</v>
      </c>
      <c r="M7" s="115">
        <f>L7+'Compte de résultat'!L14-'Compte de résultat'!L99</f>
        <v>1554952.7521279999</v>
      </c>
      <c r="N7" s="115">
        <f>M7+'Compte de résultat'!M14-'Compte de résultat'!M99</f>
        <v>2136741.6097023999</v>
      </c>
      <c r="O7" s="115">
        <f>N7+'Compte de résultat'!N14-'Compte de résultat'!N99</f>
        <v>2712250.2701619202</v>
      </c>
      <c r="P7" s="115">
        <f>O7+'Compte de résultat'!O14-'Compte de résultat'!O99</f>
        <v>3232030.0113295363</v>
      </c>
      <c r="Q7" s="115">
        <f>P7+'Compte de résultat'!P14-'Compte de résultat'!P99</f>
        <v>3704213.7050636294</v>
      </c>
      <c r="R7" s="115">
        <f>Q7+'Compte de résultat'!Q14-'Compte de résultat'!Q99</f>
        <v>4136719.6768509038</v>
      </c>
    </row>
    <row r="8" spans="3:18" x14ac:dyDescent="0.35">
      <c r="C8" s="111" t="s">
        <v>109</v>
      </c>
      <c r="D8" s="112"/>
      <c r="E8" s="113" t="s">
        <v>107</v>
      </c>
      <c r="F8" s="113"/>
      <c r="G8" s="114"/>
      <c r="H8" s="115"/>
      <c r="I8" s="115">
        <f>'Hypothèses de CAPEX'!D3</f>
        <v>50000</v>
      </c>
      <c r="J8" s="115">
        <f>'Hypothèses de CAPEX'!$D3*('Hypothèses de CAPEX'!$F3^(J$2-$I$2))</f>
        <v>51000</v>
      </c>
      <c r="K8" s="115">
        <f>'Hypothèses de CAPEX'!$D3*('Hypothèses de CAPEX'!$F3^(K$2-$I$2))</f>
        <v>52020</v>
      </c>
      <c r="L8" s="115">
        <f>'Hypothèses de CAPEX'!$D3*('Hypothèses de CAPEX'!$F3^(L$2-$I$2))</f>
        <v>53060.399999999994</v>
      </c>
      <c r="M8" s="115">
        <f>'Hypothèses de CAPEX'!$D3*('Hypothèses de CAPEX'!$F3^(M$2-$I$2))</f>
        <v>54121.608</v>
      </c>
      <c r="N8" s="115">
        <f>'Hypothèses de CAPEX'!$D3*('Hypothèses de CAPEX'!$F3^(N$2-$I$2))</f>
        <v>55204.040160000004</v>
      </c>
      <c r="O8" s="115">
        <f>'Hypothèses de CAPEX'!$D3*('Hypothèses de CAPEX'!$F3^(O$2-$I$2))</f>
        <v>56308.120963200003</v>
      </c>
      <c r="P8" s="115">
        <f>'Hypothèses de CAPEX'!$D3*('Hypothèses de CAPEX'!$F3^(P$2-$I$2))</f>
        <v>57434.283382463989</v>
      </c>
      <c r="Q8" s="115">
        <f>'Hypothèses de CAPEX'!$D3*('Hypothèses de CAPEX'!$F3^(Q$2-$I$2))</f>
        <v>58582.969050113279</v>
      </c>
      <c r="R8" s="115">
        <f>'Hypothèses de CAPEX'!$D3*('Hypothèses de CAPEX'!$F3^(R$2-$I$2))</f>
        <v>59754.62843111554</v>
      </c>
    </row>
    <row r="9" spans="3:18" x14ac:dyDescent="0.35">
      <c r="C9" s="111" t="s">
        <v>108</v>
      </c>
      <c r="D9" s="112"/>
      <c r="E9" s="113" t="s">
        <v>163</v>
      </c>
      <c r="F9" s="113"/>
      <c r="G9" s="114"/>
      <c r="H9" s="115"/>
      <c r="I9" s="115">
        <f>'Hypothèses de CAPEX'!D4</f>
        <v>200000</v>
      </c>
      <c r="J9" s="115">
        <f>'Hypothèses de CAPEX'!$D4*('Hypothèses de CAPEX'!$F4^(J$2-$I$2))</f>
        <v>210000</v>
      </c>
      <c r="K9" s="115">
        <f>'Hypothèses de CAPEX'!$D4*('Hypothèses de CAPEX'!$F4^(K$2-$I$2))</f>
        <v>220500</v>
      </c>
      <c r="L9" s="115">
        <f>'Hypothèses de CAPEX'!$D4*('Hypothèses de CAPEX'!$F4^(L$2-$I$2))</f>
        <v>231525.00000000003</v>
      </c>
      <c r="M9" s="115">
        <f>'Hypothèses de CAPEX'!$D4*('Hypothèses de CAPEX'!$F4^(M$2-$I$2))</f>
        <v>243101.25</v>
      </c>
      <c r="N9" s="115">
        <f>'Hypothèses de CAPEX'!$D4*('Hypothèses de CAPEX'!$F4^(N$2-$I$2))</f>
        <v>255256.31250000003</v>
      </c>
      <c r="O9" s="115">
        <f>'Hypothèses de CAPEX'!$D4*('Hypothèses de CAPEX'!$F4^(O$2-$I$2))</f>
        <v>268019.12812499999</v>
      </c>
      <c r="P9" s="115">
        <f>'Hypothèses de CAPEX'!$D4*('Hypothèses de CAPEX'!$F4^(P$2-$I$2))</f>
        <v>281420.08453125006</v>
      </c>
      <c r="Q9" s="115">
        <f>'Hypothèses de CAPEX'!$D4*('Hypothèses de CAPEX'!$F4^(Q$2-$I$2))</f>
        <v>295491.08875781251</v>
      </c>
      <c r="R9" s="115">
        <f>'Hypothèses de CAPEX'!$D4*('Hypothèses de CAPEX'!$F4^(R$2-$I$2))</f>
        <v>310265.64319570316</v>
      </c>
    </row>
    <row r="10" spans="3:18" x14ac:dyDescent="0.35">
      <c r="C10" s="111" t="s">
        <v>110</v>
      </c>
      <c r="D10" s="112"/>
      <c r="E10" s="113" t="s">
        <v>162</v>
      </c>
      <c r="F10" s="113"/>
      <c r="G10" s="114"/>
      <c r="H10" s="115"/>
      <c r="I10" s="115">
        <f>'Hypothèses de CAPEX'!D5</f>
        <v>150000</v>
      </c>
      <c r="J10" s="115">
        <f>'Hypothèses de CAPEX'!$D5*('Hypothèses de CAPEX'!$F5^(J$2-$I$2))</f>
        <v>157500</v>
      </c>
      <c r="K10" s="115">
        <f>'Hypothèses de CAPEX'!$D5*('Hypothèses de CAPEX'!$F5^(K$2-$I$2))</f>
        <v>165375</v>
      </c>
      <c r="L10" s="115">
        <f>'Hypothèses de CAPEX'!$D5*('Hypothèses de CAPEX'!$F5^(L$2-$I$2))</f>
        <v>173643.75000000003</v>
      </c>
      <c r="M10" s="115">
        <f>'Hypothèses de CAPEX'!$D5*('Hypothèses de CAPEX'!$F5^(M$2-$I$2))</f>
        <v>182325.9375</v>
      </c>
      <c r="N10" s="115">
        <f>'Hypothèses de CAPEX'!$D5*('Hypothèses de CAPEX'!$F5^(N$2-$I$2))</f>
        <v>191442.23437500003</v>
      </c>
      <c r="O10" s="115">
        <f>'Hypothèses de CAPEX'!$D5*('Hypothèses de CAPEX'!$F5^(O$2-$I$2))</f>
        <v>201014.34609375001</v>
      </c>
      <c r="P10" s="115">
        <f>'Hypothèses de CAPEX'!$D5*('Hypothèses de CAPEX'!$F5^(P$2-$I$2))</f>
        <v>211065.06339843755</v>
      </c>
      <c r="Q10" s="115">
        <f>'Hypothèses de CAPEX'!$D5*('Hypothèses de CAPEX'!$F5^(Q$2-$I$2))</f>
        <v>221618.31656835938</v>
      </c>
      <c r="R10" s="115">
        <f>'Hypothèses de CAPEX'!$D5*('Hypothèses de CAPEX'!$F5^(R$2-$I$2))</f>
        <v>232699.23239677737</v>
      </c>
    </row>
    <row r="11" spans="3:18" x14ac:dyDescent="0.35">
      <c r="C11" s="122" t="s">
        <v>113</v>
      </c>
      <c r="D11" s="112"/>
      <c r="E11" s="113"/>
      <c r="F11" s="113"/>
      <c r="G11" s="114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</row>
    <row r="12" spans="3:18" x14ac:dyDescent="0.35">
      <c r="C12" s="111" t="s">
        <v>111</v>
      </c>
      <c r="D12" s="106" t="s">
        <v>112</v>
      </c>
      <c r="E12" s="107"/>
      <c r="F12" s="107"/>
      <c r="G12" s="108"/>
      <c r="H12" s="109">
        <f t="shared" ref="H12:R12" si="1">SUM(H13:H14)</f>
        <v>0</v>
      </c>
      <c r="I12" s="109">
        <f t="shared" si="1"/>
        <v>25000</v>
      </c>
      <c r="J12" s="109">
        <f t="shared" si="1"/>
        <v>50000</v>
      </c>
      <c r="K12" s="109">
        <f t="shared" si="1"/>
        <v>75000</v>
      </c>
      <c r="L12" s="109">
        <f t="shared" si="1"/>
        <v>80000</v>
      </c>
      <c r="M12" s="109">
        <f t="shared" si="1"/>
        <v>95000</v>
      </c>
      <c r="N12" s="109">
        <f t="shared" si="1"/>
        <v>100000</v>
      </c>
      <c r="O12" s="109">
        <f t="shared" si="1"/>
        <v>107500</v>
      </c>
      <c r="P12" s="109">
        <f t="shared" si="1"/>
        <v>110000</v>
      </c>
      <c r="Q12" s="109">
        <f t="shared" si="1"/>
        <v>115000</v>
      </c>
      <c r="R12" s="109">
        <f t="shared" si="1"/>
        <v>120000</v>
      </c>
    </row>
    <row r="13" spans="3:18" x14ac:dyDescent="0.35">
      <c r="C13" s="111" t="s">
        <v>111</v>
      </c>
      <c r="D13" s="106"/>
      <c r="E13" s="113" t="s">
        <v>157</v>
      </c>
      <c r="F13" s="107"/>
      <c r="G13" s="108"/>
      <c r="H13" s="115"/>
      <c r="I13" s="115">
        <f>'Hypothèses de CAPEX'!$D6*'Hypothèses de recrutement'!G35</f>
        <v>5000</v>
      </c>
      <c r="J13" s="115">
        <f>'Hypothèses de CAPEX'!$D6*'Hypothèses de recrutement'!H35*('Hypothèses de CAPEX'!$F6^(J2-$I$2))</f>
        <v>10000</v>
      </c>
      <c r="K13" s="115">
        <f>'Hypothèses de CAPEX'!$D$6*'Hypothèses de recrutement'!I35*('Hypothèses de CAPEX'!$F6^(K2-$I$2))</f>
        <v>15000</v>
      </c>
      <c r="L13" s="115">
        <f>'Hypothèses de CAPEX'!$D$6*'Hypothèses de recrutement'!J35*('Hypothèses de CAPEX'!$F6^(L2-$I$2))</f>
        <v>15000</v>
      </c>
      <c r="M13" s="115">
        <f>'Hypothèses de CAPEX'!$D$6*'Hypothèses de recrutement'!K35*('Hypothèses de CAPEX'!$F6^(M2-$I$2))</f>
        <v>20000</v>
      </c>
      <c r="N13" s="115">
        <f>'Hypothèses de CAPEX'!$D$6*'Hypothèses de recrutement'!L35*('Hypothèses de CAPEX'!$F6^(N2-$I$2))</f>
        <v>20000</v>
      </c>
      <c r="O13" s="115">
        <f>'Hypothèses de CAPEX'!$D$6*'Hypothèses de recrutement'!M35*('Hypothèses de CAPEX'!$F6^(O2-$I$2))</f>
        <v>22500</v>
      </c>
      <c r="P13" s="115">
        <f>'Hypothèses de CAPEX'!$D$6*'Hypothèses de recrutement'!N35*('Hypothèses de CAPEX'!$F6^(P2-$I$2))</f>
        <v>25000</v>
      </c>
      <c r="Q13" s="115">
        <f>'Hypothèses de CAPEX'!$D$6*'Hypothèses de recrutement'!O35*('Hypothèses de CAPEX'!$F6^(Q2-$I$2))</f>
        <v>25000</v>
      </c>
      <c r="R13" s="115">
        <f>'Hypothèses de CAPEX'!$D$6*'Hypothèses de recrutement'!P35*('Hypothèses de CAPEX'!$F6^(R2-$I$2))</f>
        <v>25000</v>
      </c>
    </row>
    <row r="14" spans="3:18" x14ac:dyDescent="0.35">
      <c r="C14" s="111" t="s">
        <v>108</v>
      </c>
      <c r="D14" s="112"/>
      <c r="E14" s="113" t="s">
        <v>158</v>
      </c>
      <c r="F14" s="113"/>
      <c r="G14" s="114"/>
      <c r="H14" s="115"/>
      <c r="I14" s="115">
        <f>'Hypothèses de CAPEX'!$D7*'Hypothèses de recrutement'!G36</f>
        <v>20000</v>
      </c>
      <c r="J14" s="115">
        <f>'Hypothèses de CAPEX'!$D7*'Hypothèses de recrutement'!H36*('Hypothèses de CAPEX'!$F7^(J3-$I$2))</f>
        <v>40000</v>
      </c>
      <c r="K14" s="115">
        <f>'Hypothèses de CAPEX'!$D7*'Hypothèses de recrutement'!I36*('Hypothèses de CAPEX'!$F7^(K3-$I$2))</f>
        <v>60000</v>
      </c>
      <c r="L14" s="115">
        <f>'Hypothèses de CAPEX'!$D7*'Hypothèses de recrutement'!J36*('Hypothèses de CAPEX'!$F7^(L3-$I$2))</f>
        <v>65000</v>
      </c>
      <c r="M14" s="115">
        <f>'Hypothèses de CAPEX'!$D7*'Hypothèses de recrutement'!K36*('Hypothèses de CAPEX'!$F7^(M3-$I$2))</f>
        <v>75000</v>
      </c>
      <c r="N14" s="115">
        <f>'Hypothèses de CAPEX'!$D7*'Hypothèses de recrutement'!L36*('Hypothèses de CAPEX'!$F7^(N3-$I$2))</f>
        <v>80000</v>
      </c>
      <c r="O14" s="115">
        <f>'Hypothèses de CAPEX'!$D7*'Hypothèses de recrutement'!M36*('Hypothèses de CAPEX'!$F7^(O3-$I$2))</f>
        <v>85000</v>
      </c>
      <c r="P14" s="115">
        <f>'Hypothèses de CAPEX'!$D7*'Hypothèses de recrutement'!N36*('Hypothèses de CAPEX'!$F7^(P3-$I$2))</f>
        <v>85000</v>
      </c>
      <c r="Q14" s="115">
        <f>'Hypothèses de CAPEX'!$D7*'Hypothèses de recrutement'!O36*('Hypothèses de CAPEX'!$F7^(Q3-$I$2))</f>
        <v>90000</v>
      </c>
      <c r="R14" s="115">
        <f>'Hypothèses de CAPEX'!$D7*'Hypothèses de recrutement'!P36*('Hypothèses de CAPEX'!$F7^(R3-$I$2))</f>
        <v>95000</v>
      </c>
    </row>
    <row r="15" spans="3:18" x14ac:dyDescent="0.35">
      <c r="C15" s="111"/>
      <c r="D15" s="112"/>
      <c r="E15" s="113"/>
      <c r="F15" s="113"/>
      <c r="G15" s="114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</row>
    <row r="16" spans="3:18" x14ac:dyDescent="0.35">
      <c r="C16" s="122" t="s">
        <v>114</v>
      </c>
      <c r="D16" s="106" t="s">
        <v>116</v>
      </c>
      <c r="E16" s="107"/>
      <c r="F16" s="107"/>
      <c r="G16" s="108"/>
      <c r="H16" s="109">
        <f>H17</f>
        <v>0</v>
      </c>
      <c r="I16" s="109">
        <f t="shared" ref="I16:R16" si="2">I17</f>
        <v>7500</v>
      </c>
      <c r="J16" s="109">
        <f t="shared" si="2"/>
        <v>10500</v>
      </c>
      <c r="K16" s="109">
        <f t="shared" si="2"/>
        <v>15000</v>
      </c>
      <c r="L16" s="109">
        <f t="shared" si="2"/>
        <v>15000</v>
      </c>
      <c r="M16" s="109">
        <f t="shared" si="2"/>
        <v>15000</v>
      </c>
      <c r="N16" s="109">
        <f t="shared" si="2"/>
        <v>15000</v>
      </c>
      <c r="O16" s="109">
        <f t="shared" si="2"/>
        <v>15000</v>
      </c>
      <c r="P16" s="109">
        <f t="shared" si="2"/>
        <v>15000</v>
      </c>
      <c r="Q16" s="109">
        <f t="shared" si="2"/>
        <v>15000</v>
      </c>
      <c r="R16" s="109">
        <f t="shared" si="2"/>
        <v>15000</v>
      </c>
    </row>
    <row r="17" spans="3:18" x14ac:dyDescent="0.35">
      <c r="C17" s="122" t="s">
        <v>115</v>
      </c>
      <c r="D17" s="112"/>
      <c r="E17" s="113" t="s">
        <v>117</v>
      </c>
      <c r="F17" s="107"/>
      <c r="G17" s="108"/>
      <c r="H17" s="115"/>
      <c r="I17" s="115">
        <f>'Hypothèses de CAPEX'!$D$8*'Compte de résultat'!H29/12</f>
        <v>7500</v>
      </c>
      <c r="J17" s="115">
        <f>'Hypothèses de CAPEX'!$D$8*'Compte de résultat'!I29/12</f>
        <v>10500</v>
      </c>
      <c r="K17" s="115">
        <f>'Hypothèses de CAPEX'!$D$8*'Compte de résultat'!J29/12</f>
        <v>15000</v>
      </c>
      <c r="L17" s="115">
        <f>'Hypothèses de CAPEX'!$D$8*'Compte de résultat'!K29/12</f>
        <v>15000</v>
      </c>
      <c r="M17" s="115">
        <f>'Hypothèses de CAPEX'!$D$8*'Compte de résultat'!L29/12</f>
        <v>15000</v>
      </c>
      <c r="N17" s="115">
        <f>'Hypothèses de CAPEX'!$D$8*'Compte de résultat'!M29/12</f>
        <v>15000</v>
      </c>
      <c r="O17" s="115">
        <f>'Hypothèses de CAPEX'!$D$8*'Compte de résultat'!N29/12</f>
        <v>15000</v>
      </c>
      <c r="P17" s="115">
        <f>'Hypothèses de CAPEX'!$D$8*'Compte de résultat'!O29/12</f>
        <v>15000</v>
      </c>
      <c r="Q17" s="115">
        <f>'Hypothèses de CAPEX'!$D$8*'Compte de résultat'!P29/12</f>
        <v>15000</v>
      </c>
      <c r="R17" s="115">
        <f>'Hypothèses de CAPEX'!$D$8*'Compte de résultat'!Q29/12</f>
        <v>15000</v>
      </c>
    </row>
    <row r="18" spans="3:18" ht="12" thickBot="1" x14ac:dyDescent="0.4">
      <c r="C18" s="122" t="s">
        <v>119</v>
      </c>
      <c r="D18" s="112"/>
      <c r="E18" s="113"/>
      <c r="F18" s="113"/>
      <c r="G18" s="114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</row>
    <row r="19" spans="3:18" ht="12" thickBot="1" x14ac:dyDescent="0.4">
      <c r="C19" s="362" t="s">
        <v>118</v>
      </c>
      <c r="D19" s="363"/>
      <c r="E19" s="363"/>
      <c r="F19" s="363"/>
      <c r="G19" s="363"/>
      <c r="H19" s="116">
        <f t="shared" ref="H19:R19" si="3">H6+H12+H16</f>
        <v>112486</v>
      </c>
      <c r="I19" s="116">
        <f t="shared" si="3"/>
        <v>522488.8</v>
      </c>
      <c r="J19" s="116">
        <f t="shared" si="3"/>
        <v>718177.34400000004</v>
      </c>
      <c r="K19" s="116">
        <f t="shared" si="3"/>
        <v>1071682.6351999999</v>
      </c>
      <c r="L19" s="116">
        <f t="shared" si="3"/>
        <v>1508869.4181599999</v>
      </c>
      <c r="M19" s="116">
        <f t="shared" si="3"/>
        <v>2144501.5476279999</v>
      </c>
      <c r="N19" s="116">
        <f t="shared" si="3"/>
        <v>2753644.1967373998</v>
      </c>
      <c r="O19" s="116">
        <f t="shared" si="3"/>
        <v>3360091.8653438701</v>
      </c>
      <c r="P19" s="116">
        <f t="shared" si="3"/>
        <v>3906949.442641688</v>
      </c>
      <c r="Q19" s="116">
        <f t="shared" si="3"/>
        <v>4409906.0794399148</v>
      </c>
      <c r="R19" s="116">
        <f t="shared" si="3"/>
        <v>4874439.1808745004</v>
      </c>
    </row>
    <row r="20" spans="3:18" x14ac:dyDescent="0.35">
      <c r="C20" s="118"/>
      <c r="D20" s="119"/>
      <c r="E20" s="120"/>
      <c r="F20" s="120"/>
      <c r="G20" s="121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10"/>
    </row>
    <row r="21" spans="3:18" x14ac:dyDescent="0.35">
      <c r="C21" s="122" t="s">
        <v>120</v>
      </c>
      <c r="D21" s="106" t="s">
        <v>121</v>
      </c>
      <c r="E21" s="107"/>
      <c r="F21" s="107"/>
      <c r="G21" s="123"/>
      <c r="H21" s="106"/>
      <c r="I21" s="106">
        <f>(0.2/12)*('Compte de résultat'!H29+'Compte de résultat'!H31+'Compte de résultat'!H81+'Compte de résultat'!H92+'Compte de résultat'!H22+'Compte de résultat'!H23)</f>
        <v>721.66666666666663</v>
      </c>
      <c r="J21" s="106">
        <f>(0.2/12)*('Compte de résultat'!I29+'Compte de résultat'!I31+'Compte de résultat'!I81+'Compte de résultat'!I92+'Compte de résultat'!I22+'Compte de résultat'!I23)</f>
        <v>1718.6666666666667</v>
      </c>
      <c r="K21" s="106">
        <f>(0.2/12)*('Compte de résultat'!J29+'Compte de résultat'!J31+'Compte de résultat'!J81+'Compte de résultat'!J92+'Compte de résultat'!J22+'Compte de résultat'!J23)</f>
        <v>5919.5333333333328</v>
      </c>
      <c r="L21" s="106">
        <f>(0.2/12)*('Compte de résultat'!K29+'Compte de résultat'!K31+'Compte de résultat'!K81+'Compte de résultat'!K92+'Compte de résultat'!K22+'Compte de résultat'!K23)</f>
        <v>9515.6</v>
      </c>
      <c r="M21" s="106">
        <f>(0.2/12)*('Compte de résultat'!L29+'Compte de résultat'!L31+'Compte de résultat'!L81+'Compte de résultat'!L92+'Compte de résultat'!L22+'Compte de résultat'!L23)</f>
        <v>27167.7</v>
      </c>
      <c r="N21" s="106">
        <f>(0.2/12)*('Compte de résultat'!M29+'Compte de résultat'!M31+'Compte de résultat'!M81+'Compte de résultat'!M92+'Compte de résultat'!M22+'Compte de résultat'!M23)</f>
        <v>39413.766666666663</v>
      </c>
      <c r="O21" s="106">
        <f>(0.2/12)*('Compte de résultat'!N29+'Compte de résultat'!N31+'Compte de résultat'!N81+'Compte de résultat'!N92+'Compte de résultat'!N22+'Compte de résultat'!N23)</f>
        <v>54625.913333333338</v>
      </c>
      <c r="P21" s="106">
        <f>(0.2/12)*('Compte de résultat'!O29+'Compte de résultat'!O31+'Compte de résultat'!O81+'Compte de résultat'!O92+'Compte de résultat'!O22+'Compte de résultat'!O23)</f>
        <v>65599.897333333342</v>
      </c>
      <c r="Q21" s="106">
        <f>(0.2/12)*('Compte de résultat'!P29+'Compte de résultat'!P31+'Compte de résultat'!P81+'Compte de résultat'!P92+'Compte de résultat'!P22+'Compte de résultat'!P23)</f>
        <v>79333.843999999997</v>
      </c>
      <c r="R21" s="109">
        <f>(0.2/12)*('Compte de résultat'!Q29+'Compte de résultat'!Q31+'Compte de résultat'!Q81+'Compte de résultat'!Q92+'Compte de résultat'!Q22+'Compte de résultat'!Q23)</f>
        <v>94258.14466666666</v>
      </c>
    </row>
    <row r="22" spans="3:18" x14ac:dyDescent="0.35">
      <c r="C22" s="122" t="s">
        <v>115</v>
      </c>
      <c r="D22" s="106"/>
      <c r="E22" s="113"/>
      <c r="F22" s="113"/>
      <c r="G22" s="114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9"/>
    </row>
    <row r="23" spans="3:18" x14ac:dyDescent="0.35">
      <c r="C23" s="122" t="s">
        <v>122</v>
      </c>
      <c r="D23" s="106" t="s">
        <v>159</v>
      </c>
      <c r="E23" s="113"/>
      <c r="F23" s="113"/>
      <c r="G23" s="114"/>
      <c r="H23" s="112"/>
      <c r="I23" s="112">
        <f>IF('Compte de résultat'!H116&lt;0,-'Compte de résultat'!H116,0)</f>
        <v>0</v>
      </c>
      <c r="J23" s="112">
        <f>IF('Compte de résultat'!I116&lt;0,-'Compte de résultat'!I116,0)</f>
        <v>96303.708061502111</v>
      </c>
      <c r="K23" s="112">
        <f>IF('Compte de résultat'!J116&lt;0,-'Compte de résultat'!J116,0)</f>
        <v>91704.475570339549</v>
      </c>
      <c r="L23" s="112">
        <f>IF('Compte de résultat'!K116&lt;0,-'Compte de résultat'!K116,0)</f>
        <v>0</v>
      </c>
      <c r="M23" s="112">
        <f>IF('Compte de résultat'!L116&lt;0,-'Compte de résultat'!L116,0)</f>
        <v>0</v>
      </c>
      <c r="N23" s="112">
        <f>IF('Compte de résultat'!M116&lt;0,-'Compte de résultat'!M116,0)</f>
        <v>0</v>
      </c>
      <c r="O23" s="112">
        <f>IF('Compte de résultat'!N116&lt;0,-'Compte de résultat'!N116,0)</f>
        <v>0</v>
      </c>
      <c r="P23" s="112">
        <f>IF('Compte de résultat'!O116&lt;0,-'Compte de résultat'!O116,0)</f>
        <v>0</v>
      </c>
      <c r="Q23" s="112">
        <f>IF('Compte de résultat'!P116&lt;0,-'Compte de résultat'!P116,0)</f>
        <v>0</v>
      </c>
      <c r="R23" s="115">
        <f>IF('Compte de résultat'!Q116&lt;0,-'Compte de résultat'!Q116,0)</f>
        <v>0</v>
      </c>
    </row>
    <row r="24" spans="3:18" x14ac:dyDescent="0.35">
      <c r="C24" s="122" t="s">
        <v>108</v>
      </c>
      <c r="D24" s="112"/>
      <c r="E24" s="113"/>
      <c r="F24" s="113"/>
      <c r="G24" s="114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5"/>
    </row>
    <row r="25" spans="3:18" x14ac:dyDescent="0.35">
      <c r="C25" s="122" t="s">
        <v>115</v>
      </c>
      <c r="D25" s="106" t="s">
        <v>160</v>
      </c>
      <c r="E25" s="113"/>
      <c r="F25" s="113"/>
      <c r="G25" s="114"/>
      <c r="H25" s="112"/>
      <c r="I25" s="112">
        <f>'Compte de résultat'!H117</f>
        <v>0</v>
      </c>
      <c r="J25" s="112">
        <f>'Compte de résultat'!I117</f>
        <v>0</v>
      </c>
      <c r="K25" s="112">
        <f>'Compte de résultat'!J117</f>
        <v>60211.007999999994</v>
      </c>
      <c r="L25" s="112">
        <f>'Compte de résultat'!K117</f>
        <v>223118.64</v>
      </c>
      <c r="M25" s="112">
        <f>'Compte de résultat'!L117</f>
        <v>296415.20159999991</v>
      </c>
      <c r="N25" s="112">
        <f>'Compte de résultat'!M117</f>
        <v>334792.27799999999</v>
      </c>
      <c r="O25" s="112">
        <f>'Compte de résultat'!N117</f>
        <v>376071.36840000004</v>
      </c>
      <c r="P25" s="112">
        <f>'Compte de résultat'!O117</f>
        <v>398336.17319999996</v>
      </c>
      <c r="Q25" s="112">
        <f>'Compte de résultat'!P117</f>
        <v>419471.136</v>
      </c>
      <c r="R25" s="115">
        <f>'Compte de résultat'!Q117</f>
        <v>440005.76730000007</v>
      </c>
    </row>
    <row r="26" spans="3:18" x14ac:dyDescent="0.35">
      <c r="C26" s="122"/>
      <c r="D26" s="106"/>
      <c r="E26" s="113"/>
      <c r="F26" s="113"/>
      <c r="G26" s="114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5"/>
    </row>
    <row r="27" spans="3:18" x14ac:dyDescent="0.35">
      <c r="C27" s="122" t="s">
        <v>114</v>
      </c>
      <c r="D27" s="106" t="s">
        <v>161</v>
      </c>
      <c r="E27" s="113"/>
      <c r="F27" s="113"/>
      <c r="G27" s="114"/>
      <c r="H27" s="106">
        <v>566.16999999999996</v>
      </c>
      <c r="I27" s="106"/>
      <c r="J27" s="106"/>
      <c r="K27" s="106"/>
      <c r="L27" s="106"/>
      <c r="M27" s="106"/>
      <c r="N27" s="106"/>
      <c r="O27" s="106"/>
      <c r="P27" s="106"/>
      <c r="Q27" s="106"/>
      <c r="R27" s="109"/>
    </row>
    <row r="28" spans="3:18" x14ac:dyDescent="0.35">
      <c r="C28" s="122" t="s">
        <v>115</v>
      </c>
      <c r="D28" s="112"/>
      <c r="E28" s="113"/>
      <c r="F28" s="113"/>
      <c r="G28" s="114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5"/>
    </row>
    <row r="29" spans="3:18" ht="12" thickBot="1" x14ac:dyDescent="0.4">
      <c r="C29" s="122" t="s">
        <v>119</v>
      </c>
      <c r="D29" s="106" t="s">
        <v>123</v>
      </c>
      <c r="E29" s="107"/>
      <c r="F29" s="107"/>
      <c r="G29" s="108"/>
      <c r="H29" s="106">
        <v>24805.9</v>
      </c>
      <c r="I29" s="106">
        <f>'Flux de trésorerie (p)'!E37</f>
        <v>1600232.2606890833</v>
      </c>
      <c r="J29" s="106">
        <f>'Flux de trésorerie (p)'!F37</f>
        <v>1506066.0609285426</v>
      </c>
      <c r="K29" s="106">
        <f>'Flux de trésorerie (p)'!G37</f>
        <v>857436.73530882306</v>
      </c>
      <c r="L29" s="106">
        <f>'Flux de trésorerie (p)'!H37</f>
        <v>626203.92754013988</v>
      </c>
      <c r="M29" s="106">
        <f>'Flux de trésorerie (p)'!I37</f>
        <v>59373.419746584375</v>
      </c>
      <c r="N29" s="106">
        <f>'Flux de trésorerie (p)'!J37</f>
        <v>-33583.926015107689</v>
      </c>
      <c r="O29" s="106">
        <f>'Flux de trésorerie (p)'!K37</f>
        <v>504635.22026612668</v>
      </c>
      <c r="P29" s="106">
        <f>'Flux de trésorerie (p)'!L37</f>
        <v>2553394.5625481717</v>
      </c>
      <c r="Q29" s="106">
        <f>'Flux de trésorerie (p)'!M37</f>
        <v>6703474.3766109571</v>
      </c>
      <c r="R29" s="146">
        <f>'Flux de trésorerie (p)'!N37</f>
        <v>11512884.480120916</v>
      </c>
    </row>
    <row r="30" spans="3:18" ht="12" thickBot="1" x14ac:dyDescent="0.4">
      <c r="C30" s="364" t="s">
        <v>124</v>
      </c>
      <c r="D30" s="365"/>
      <c r="E30" s="365"/>
      <c r="F30" s="365"/>
      <c r="G30" s="366"/>
      <c r="H30" s="124">
        <f t="shared" ref="H30:M30" si="4">H21+H23+H25+H27+H29</f>
        <v>25372.07</v>
      </c>
      <c r="I30" s="124">
        <f t="shared" si="4"/>
        <v>1600953.92735575</v>
      </c>
      <c r="J30" s="124">
        <f t="shared" si="4"/>
        <v>1604088.4356567115</v>
      </c>
      <c r="K30" s="124">
        <f t="shared" si="4"/>
        <v>1015271.752212496</v>
      </c>
      <c r="L30" s="124">
        <f t="shared" si="4"/>
        <v>858838.16754013987</v>
      </c>
      <c r="M30" s="124">
        <f t="shared" si="4"/>
        <v>382956.3213465843</v>
      </c>
      <c r="N30" s="124">
        <f>N21+N23+N25+N27+N29</f>
        <v>340622.11865155899</v>
      </c>
      <c r="O30" s="124">
        <f>O21+O23+O25+O27+O29</f>
        <v>935332.50199946004</v>
      </c>
      <c r="P30" s="124">
        <f>P21+P23+P25+P27+P29</f>
        <v>3017330.6330815051</v>
      </c>
      <c r="Q30" s="124">
        <f>Q21+Q23+Q25+Q27+Q29</f>
        <v>7202279.3566109575</v>
      </c>
      <c r="R30" s="124">
        <f>R21+R23+R25+R27+R29</f>
        <v>12047148.392087582</v>
      </c>
    </row>
    <row r="31" spans="3:18" ht="12" thickBot="1" x14ac:dyDescent="0.4">
      <c r="C31" s="367" t="s">
        <v>125</v>
      </c>
      <c r="D31" s="368"/>
      <c r="E31" s="368"/>
      <c r="F31" s="368"/>
      <c r="G31" s="369"/>
      <c r="H31" s="125">
        <f t="shared" ref="H31:M31" si="5">H19+H30</f>
        <v>137858.07</v>
      </c>
      <c r="I31" s="125">
        <f t="shared" si="5"/>
        <v>2123442.7273557498</v>
      </c>
      <c r="J31" s="125">
        <f t="shared" si="5"/>
        <v>2322265.7796567115</v>
      </c>
      <c r="K31" s="125">
        <f t="shared" si="5"/>
        <v>2086954.3874124959</v>
      </c>
      <c r="L31" s="125">
        <f t="shared" si="5"/>
        <v>2367707.5857001399</v>
      </c>
      <c r="M31" s="125">
        <f t="shared" si="5"/>
        <v>2527457.8689745842</v>
      </c>
      <c r="N31" s="125">
        <f>N19+N30</f>
        <v>3094266.3153889589</v>
      </c>
      <c r="O31" s="125">
        <f>O19+O30</f>
        <v>4295424.3673433298</v>
      </c>
      <c r="P31" s="125">
        <f>P19+P30</f>
        <v>6924280.0757231936</v>
      </c>
      <c r="Q31" s="125">
        <f>Q19+Q30</f>
        <v>11612185.436050873</v>
      </c>
      <c r="R31" s="125">
        <f>R19+R30</f>
        <v>16921587.572962083</v>
      </c>
    </row>
    <row r="32" spans="3:18" x14ac:dyDescent="0.35">
      <c r="C32" s="126"/>
      <c r="D32" s="113"/>
      <c r="E32" s="113"/>
      <c r="F32" s="127"/>
      <c r="G32" s="127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</row>
    <row r="33" spans="3:18" ht="12" thickBot="1" x14ac:dyDescent="0.4">
      <c r="C33" s="128"/>
      <c r="D33" s="127"/>
      <c r="E33" s="129"/>
      <c r="F33" s="127"/>
      <c r="G33" s="127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</row>
    <row r="34" spans="3:18" ht="12" thickBot="1" x14ac:dyDescent="0.4">
      <c r="C34" s="126"/>
      <c r="D34" s="113"/>
      <c r="E34" s="113"/>
      <c r="F34" s="127"/>
      <c r="G34" s="130" t="s">
        <v>126</v>
      </c>
      <c r="H34" s="131">
        <f t="shared" ref="H34:R34" si="6">ROUNDDOWN(H31-H72,0)</f>
        <v>0</v>
      </c>
      <c r="I34" s="131">
        <f t="shared" si="6"/>
        <v>0</v>
      </c>
      <c r="J34" s="131">
        <f t="shared" si="6"/>
        <v>0</v>
      </c>
      <c r="K34" s="131">
        <f t="shared" si="6"/>
        <v>0</v>
      </c>
      <c r="L34" s="131">
        <f t="shared" si="6"/>
        <v>0</v>
      </c>
      <c r="M34" s="131">
        <f t="shared" si="6"/>
        <v>0</v>
      </c>
      <c r="N34" s="131">
        <f t="shared" si="6"/>
        <v>0</v>
      </c>
      <c r="O34" s="131">
        <f t="shared" si="6"/>
        <v>0</v>
      </c>
      <c r="P34" s="131">
        <f t="shared" si="6"/>
        <v>0</v>
      </c>
      <c r="Q34" s="131">
        <f t="shared" si="6"/>
        <v>0</v>
      </c>
      <c r="R34" s="131">
        <f t="shared" si="6"/>
        <v>0</v>
      </c>
    </row>
    <row r="35" spans="3:18" x14ac:dyDescent="0.35">
      <c r="C35" s="132"/>
      <c r="E35" s="132"/>
      <c r="F35" s="127"/>
      <c r="G35" s="127"/>
      <c r="H35" s="132"/>
      <c r="I35" s="129"/>
      <c r="J35" s="129"/>
      <c r="K35" s="129"/>
      <c r="L35" s="129"/>
      <c r="M35" s="129"/>
    </row>
    <row r="36" spans="3:18" x14ac:dyDescent="0.35">
      <c r="C36" s="126"/>
      <c r="D36" s="113"/>
      <c r="E36" s="113"/>
      <c r="F36" s="127"/>
      <c r="G36" s="127"/>
      <c r="H36" s="113"/>
      <c r="I36" s="113"/>
      <c r="J36" s="113"/>
      <c r="K36" s="113"/>
      <c r="L36" s="113"/>
      <c r="M36" s="113"/>
    </row>
    <row r="37" spans="3:18" ht="14.65" customHeight="1" thickBot="1" x14ac:dyDescent="0.4">
      <c r="C37" s="370" t="s">
        <v>127</v>
      </c>
      <c r="D37" s="371"/>
      <c r="E37" s="371"/>
      <c r="F37" s="371"/>
      <c r="G37" s="371"/>
      <c r="H37" s="371"/>
      <c r="I37" s="371"/>
      <c r="J37" s="371"/>
      <c r="K37" s="371"/>
      <c r="L37" s="371"/>
      <c r="M37" s="371"/>
      <c r="N37" s="371"/>
      <c r="O37" s="371"/>
      <c r="P37" s="371"/>
      <c r="Q37" s="371"/>
      <c r="R37" s="371"/>
    </row>
    <row r="38" spans="3:18" x14ac:dyDescent="0.35">
      <c r="C38" s="133"/>
      <c r="D38" s="134"/>
      <c r="E38" s="134"/>
      <c r="F38" s="135"/>
      <c r="G38" s="136"/>
      <c r="H38" s="137"/>
      <c r="I38" s="137"/>
      <c r="J38" s="138"/>
      <c r="K38" s="137"/>
      <c r="L38" s="138"/>
      <c r="M38" s="138"/>
    </row>
    <row r="39" spans="3:18" x14ac:dyDescent="0.35">
      <c r="C39" s="122"/>
      <c r="D39" s="107" t="s">
        <v>128</v>
      </c>
      <c r="E39" s="107"/>
      <c r="F39" s="139"/>
      <c r="G39" s="108"/>
      <c r="H39" s="106">
        <v>10400</v>
      </c>
      <c r="I39" s="106">
        <v>10400</v>
      </c>
      <c r="J39" s="106">
        <v>10400</v>
      </c>
      <c r="K39" s="106">
        <v>10400</v>
      </c>
      <c r="L39" s="106">
        <v>10400</v>
      </c>
      <c r="M39" s="109">
        <v>10400</v>
      </c>
      <c r="N39" s="109">
        <v>10400</v>
      </c>
      <c r="O39" s="109">
        <v>10400</v>
      </c>
      <c r="P39" s="109">
        <v>10400</v>
      </c>
      <c r="Q39" s="109">
        <v>10400</v>
      </c>
      <c r="R39" s="109">
        <v>10400</v>
      </c>
    </row>
    <row r="40" spans="3:18" x14ac:dyDescent="0.35">
      <c r="C40" s="122" t="s">
        <v>106</v>
      </c>
      <c r="D40" s="107" t="s">
        <v>130</v>
      </c>
      <c r="E40" s="113"/>
      <c r="F40" s="127"/>
      <c r="G40" s="114"/>
      <c r="H40" s="106">
        <v>137200</v>
      </c>
      <c r="I40" s="106">
        <v>137200</v>
      </c>
      <c r="J40" s="106">
        <v>137200</v>
      </c>
      <c r="K40" s="106">
        <v>137200</v>
      </c>
      <c r="L40" s="106">
        <v>137200</v>
      </c>
      <c r="M40" s="109">
        <v>137200</v>
      </c>
      <c r="N40" s="109">
        <v>137200</v>
      </c>
      <c r="O40" s="109">
        <v>137200</v>
      </c>
      <c r="P40" s="109">
        <v>137200</v>
      </c>
      <c r="Q40" s="109">
        <v>137200</v>
      </c>
      <c r="R40" s="109">
        <v>137200</v>
      </c>
    </row>
    <row r="41" spans="3:18" x14ac:dyDescent="0.35">
      <c r="C41" s="122" t="s">
        <v>129</v>
      </c>
      <c r="D41" s="107" t="s">
        <v>204</v>
      </c>
      <c r="E41" s="113"/>
      <c r="F41" s="127"/>
      <c r="G41" s="114"/>
      <c r="H41" s="106"/>
      <c r="I41" s="106">
        <f>'Hypothèses de financement'!$E$5</f>
        <v>1500000</v>
      </c>
      <c r="J41" s="106">
        <f>'Hypothèses de financement'!$E$5</f>
        <v>1500000</v>
      </c>
      <c r="K41" s="106">
        <f>'Hypothèses de financement'!$E$5</f>
        <v>1500000</v>
      </c>
      <c r="L41" s="106">
        <f>'Hypothèses de financement'!$E$5</f>
        <v>1500000</v>
      </c>
      <c r="M41" s="109">
        <f>'Hypothèses de financement'!$E$5</f>
        <v>1500000</v>
      </c>
      <c r="N41" s="109">
        <f>'Hypothèses de financement'!$E$5</f>
        <v>1500000</v>
      </c>
      <c r="O41" s="109">
        <f>'Hypothèses de financement'!$E$5</f>
        <v>1500000</v>
      </c>
      <c r="P41" s="109">
        <f>'Hypothèses de financement'!$E$5</f>
        <v>1500000</v>
      </c>
      <c r="Q41" s="109">
        <f>'Hypothèses de financement'!$E$5</f>
        <v>1500000</v>
      </c>
      <c r="R41" s="109">
        <f>'Hypothèses de financement'!$E$5</f>
        <v>1500000</v>
      </c>
    </row>
    <row r="42" spans="3:18" x14ac:dyDescent="0.35">
      <c r="C42" s="122" t="s">
        <v>122</v>
      </c>
      <c r="D42" s="107" t="s">
        <v>131</v>
      </c>
      <c r="E42" s="107"/>
      <c r="F42" s="127"/>
      <c r="G42" s="114"/>
      <c r="H42" s="106"/>
      <c r="I42" s="106"/>
      <c r="J42" s="109"/>
      <c r="K42" s="106"/>
      <c r="L42" s="109"/>
      <c r="M42" s="109"/>
      <c r="N42" s="109"/>
      <c r="O42" s="109"/>
      <c r="P42" s="109"/>
      <c r="Q42" s="109"/>
      <c r="R42" s="109"/>
    </row>
    <row r="43" spans="3:18" x14ac:dyDescent="0.35">
      <c r="C43" s="122" t="s">
        <v>132</v>
      </c>
      <c r="D43" s="113"/>
      <c r="E43" s="113" t="s">
        <v>133</v>
      </c>
      <c r="F43" s="127"/>
      <c r="G43" s="114"/>
      <c r="H43" s="112"/>
      <c r="I43" s="112"/>
      <c r="J43" s="115"/>
      <c r="K43" s="112"/>
      <c r="L43" s="115"/>
      <c r="M43" s="115"/>
      <c r="N43" s="115"/>
      <c r="O43" s="115"/>
      <c r="P43" s="115"/>
      <c r="Q43" s="115"/>
      <c r="R43" s="115"/>
    </row>
    <row r="44" spans="3:18" x14ac:dyDescent="0.35">
      <c r="C44" s="122" t="s">
        <v>113</v>
      </c>
      <c r="D44" s="113"/>
      <c r="E44" s="113" t="s">
        <v>134</v>
      </c>
      <c r="F44" s="127"/>
      <c r="G44" s="114"/>
      <c r="H44" s="112"/>
      <c r="I44" s="112"/>
      <c r="J44" s="115"/>
      <c r="K44" s="112"/>
      <c r="L44" s="115"/>
      <c r="M44" s="115"/>
      <c r="N44" s="115"/>
      <c r="O44" s="115"/>
      <c r="P44" s="115"/>
      <c r="Q44" s="115"/>
      <c r="R44" s="115"/>
    </row>
    <row r="45" spans="3:18" x14ac:dyDescent="0.35">
      <c r="C45" s="122" t="s">
        <v>122</v>
      </c>
      <c r="D45" s="113"/>
      <c r="E45" s="113" t="s">
        <v>135</v>
      </c>
      <c r="F45" s="127"/>
      <c r="G45" s="114"/>
      <c r="H45" s="112"/>
      <c r="I45" s="112"/>
      <c r="J45" s="115"/>
      <c r="K45" s="112"/>
      <c r="L45" s="115"/>
      <c r="M45" s="115"/>
      <c r="N45" s="115"/>
      <c r="O45" s="115"/>
      <c r="P45" s="115"/>
      <c r="Q45" s="115"/>
      <c r="R45" s="115"/>
    </row>
    <row r="46" spans="3:18" x14ac:dyDescent="0.35">
      <c r="C46" s="122" t="s">
        <v>136</v>
      </c>
      <c r="D46" s="113"/>
      <c r="E46" s="113" t="s">
        <v>137</v>
      </c>
      <c r="F46" s="127"/>
      <c r="G46" s="114"/>
      <c r="H46" s="112"/>
      <c r="I46" s="112"/>
      <c r="J46" s="140"/>
      <c r="K46" s="231"/>
      <c r="L46" s="140"/>
      <c r="M46" s="140"/>
      <c r="N46" s="140"/>
      <c r="O46" s="140"/>
      <c r="P46" s="140"/>
      <c r="Q46" s="140"/>
      <c r="R46" s="140"/>
    </row>
    <row r="47" spans="3:18" x14ac:dyDescent="0.35">
      <c r="C47" s="141"/>
      <c r="D47" s="107" t="s">
        <v>138</v>
      </c>
      <c r="E47" s="107"/>
      <c r="F47" s="139"/>
      <c r="G47" s="108"/>
      <c r="H47" s="106">
        <v>-10009.24</v>
      </c>
      <c r="I47" s="106">
        <f t="shared" ref="I47:R47" si="7">H47+H48</f>
        <v>-9811.24</v>
      </c>
      <c r="J47" s="109">
        <f t="shared" si="7"/>
        <v>20259.527318247943</v>
      </c>
      <c r="K47" s="109">
        <f t="shared" si="7"/>
        <v>-227378.57912561457</v>
      </c>
      <c r="L47" s="109">
        <f t="shared" si="7"/>
        <v>-402979.07973505912</v>
      </c>
      <c r="M47" s="109">
        <f t="shared" si="7"/>
        <v>-15079.910064952739</v>
      </c>
      <c r="N47" s="109">
        <f t="shared" si="7"/>
        <v>318680.74302421935</v>
      </c>
      <c r="O47" s="109">
        <f t="shared" si="7"/>
        <v>892340.85087734391</v>
      </c>
      <c r="P47" s="109">
        <f t="shared" si="7"/>
        <v>1969613.7927385585</v>
      </c>
      <c r="Q47" s="109">
        <f t="shared" si="7"/>
        <v>4202074.4577834951</v>
      </c>
      <c r="R47" s="109">
        <f t="shared" si="7"/>
        <v>8161948.3210160052</v>
      </c>
    </row>
    <row r="48" spans="3:18" x14ac:dyDescent="0.35">
      <c r="C48" s="122" t="s">
        <v>139</v>
      </c>
      <c r="D48" s="107" t="s">
        <v>140</v>
      </c>
      <c r="E48" s="107"/>
      <c r="F48" s="139"/>
      <c r="G48" s="108"/>
      <c r="H48" s="106">
        <v>198</v>
      </c>
      <c r="I48" s="106">
        <f>'Compte de résultat'!H119</f>
        <v>30070.767318247941</v>
      </c>
      <c r="J48" s="109">
        <f>'Compte de résultat'!I119</f>
        <v>-247638.10644386252</v>
      </c>
      <c r="K48" s="106">
        <f>'Compte de résultat'!J119</f>
        <v>-175600.50060944454</v>
      </c>
      <c r="L48" s="109">
        <f>'Compte de résultat'!K119</f>
        <v>387899.16967010638</v>
      </c>
      <c r="M48" s="109">
        <f>'Compte de résultat'!L119</f>
        <v>333760.65308917209</v>
      </c>
      <c r="N48" s="109">
        <f>'Compte de résultat'!M119</f>
        <v>573660.10785312462</v>
      </c>
      <c r="O48" s="109">
        <f>'Compte de résultat'!N119</f>
        <v>1077272.9418612146</v>
      </c>
      <c r="P48" s="109">
        <f>'Compte de résultat'!O119</f>
        <v>2232460.6650449364</v>
      </c>
      <c r="Q48" s="109">
        <f>'Compte de résultat'!P119</f>
        <v>3959873.8632325102</v>
      </c>
      <c r="R48" s="109">
        <f>'Compte de résultat'!Q119</f>
        <v>4902517.2410451742</v>
      </c>
    </row>
    <row r="49" spans="3:18" ht="12" thickBot="1" x14ac:dyDescent="0.4">
      <c r="C49" s="122" t="s">
        <v>120</v>
      </c>
      <c r="D49" s="142" t="s">
        <v>141</v>
      </c>
      <c r="E49" s="142"/>
      <c r="F49" s="143"/>
      <c r="G49" s="144"/>
      <c r="H49" s="145"/>
      <c r="I49" s="145"/>
      <c r="J49" s="146"/>
      <c r="K49" s="145"/>
      <c r="L49" s="146"/>
      <c r="M49" s="146"/>
      <c r="N49" s="146"/>
      <c r="O49" s="146"/>
      <c r="P49" s="146"/>
      <c r="Q49" s="146"/>
      <c r="R49" s="146"/>
    </row>
    <row r="50" spans="3:18" ht="12" thickBot="1" x14ac:dyDescent="0.4">
      <c r="C50" s="122" t="s">
        <v>119</v>
      </c>
      <c r="D50" s="160"/>
      <c r="E50" s="161" t="s">
        <v>142</v>
      </c>
      <c r="F50" s="162"/>
      <c r="G50" s="163"/>
      <c r="H50" s="164">
        <f t="shared" ref="H50:R50" si="8">H39+H40+H42+H47+H48+H49+H41</f>
        <v>137788.76</v>
      </c>
      <c r="I50" s="164">
        <f t="shared" si="8"/>
        <v>1667859.5273182481</v>
      </c>
      <c r="J50" s="164">
        <f t="shared" si="8"/>
        <v>1420221.4208743854</v>
      </c>
      <c r="K50" s="164">
        <f t="shared" si="8"/>
        <v>1244620.9202649409</v>
      </c>
      <c r="L50" s="164">
        <f t="shared" si="8"/>
        <v>1632520.0899350473</v>
      </c>
      <c r="M50" s="165">
        <f t="shared" si="8"/>
        <v>1966280.7430242193</v>
      </c>
      <c r="N50" s="165">
        <f t="shared" si="8"/>
        <v>2539940.8508773437</v>
      </c>
      <c r="O50" s="165">
        <f t="shared" si="8"/>
        <v>3617213.7927385587</v>
      </c>
      <c r="P50" s="165">
        <f t="shared" si="8"/>
        <v>5849674.4577834951</v>
      </c>
      <c r="Q50" s="165">
        <f t="shared" si="8"/>
        <v>9809548.3210160062</v>
      </c>
      <c r="R50" s="165">
        <f t="shared" si="8"/>
        <v>14712065.562061179</v>
      </c>
    </row>
    <row r="51" spans="3:18" x14ac:dyDescent="0.35">
      <c r="C51" s="122" t="s">
        <v>114</v>
      </c>
      <c r="D51" s="113" t="s">
        <v>143</v>
      </c>
      <c r="E51" s="113"/>
      <c r="F51" s="127"/>
      <c r="G51" s="151"/>
      <c r="H51" s="112"/>
      <c r="I51" s="138"/>
      <c r="J51" s="113"/>
      <c r="K51" s="138"/>
      <c r="L51" s="113"/>
      <c r="M51" s="138"/>
      <c r="N51" s="138"/>
      <c r="O51" s="138"/>
      <c r="P51" s="138"/>
      <c r="Q51" s="138"/>
      <c r="R51" s="138"/>
    </row>
    <row r="52" spans="3:18" ht="12" thickBot="1" x14ac:dyDescent="0.4">
      <c r="C52" s="122" t="s">
        <v>108</v>
      </c>
      <c r="D52" s="113" t="s">
        <v>137</v>
      </c>
      <c r="E52" s="113"/>
      <c r="F52" s="127"/>
      <c r="G52" s="151"/>
      <c r="H52" s="112"/>
      <c r="I52" s="152"/>
      <c r="J52" s="113"/>
      <c r="K52" s="152"/>
      <c r="L52" s="113"/>
      <c r="M52" s="152"/>
      <c r="N52" s="152"/>
      <c r="O52" s="152"/>
      <c r="P52" s="152"/>
      <c r="Q52" s="152"/>
      <c r="R52" s="152"/>
    </row>
    <row r="53" spans="3:18" ht="12" thickBot="1" x14ac:dyDescent="0.4">
      <c r="C53" s="122" t="s">
        <v>132</v>
      </c>
      <c r="D53" s="147"/>
      <c r="E53" s="148" t="s">
        <v>144</v>
      </c>
      <c r="F53" s="149"/>
      <c r="G53" s="150"/>
      <c r="H53" s="149"/>
      <c r="I53" s="153"/>
      <c r="J53" s="153"/>
      <c r="K53" s="153"/>
      <c r="L53" s="153"/>
      <c r="M53" s="154"/>
      <c r="N53" s="154"/>
      <c r="O53" s="154"/>
      <c r="P53" s="154"/>
      <c r="Q53" s="154"/>
      <c r="R53" s="154"/>
    </row>
    <row r="54" spans="3:18" x14ac:dyDescent="0.35">
      <c r="C54" s="122" t="s">
        <v>119</v>
      </c>
      <c r="D54" s="137" t="s">
        <v>145</v>
      </c>
      <c r="E54" s="134"/>
      <c r="F54" s="135"/>
      <c r="G54" s="155"/>
      <c r="H54" s="137"/>
      <c r="I54" s="137"/>
      <c r="J54" s="137"/>
      <c r="K54" s="137"/>
      <c r="L54" s="137"/>
      <c r="M54" s="138"/>
      <c r="N54" s="138"/>
      <c r="O54" s="138"/>
      <c r="P54" s="138"/>
      <c r="Q54" s="138"/>
      <c r="R54" s="138"/>
    </row>
    <row r="55" spans="3:18" ht="12" thickBot="1" x14ac:dyDescent="0.4">
      <c r="C55" s="122" t="s">
        <v>146</v>
      </c>
      <c r="D55" s="156"/>
      <c r="E55" s="157"/>
      <c r="F55" s="158"/>
      <c r="G55" s="159"/>
      <c r="H55" s="156"/>
      <c r="I55" s="152"/>
      <c r="J55" s="157"/>
      <c r="K55" s="152"/>
      <c r="L55" s="157"/>
      <c r="M55" s="152"/>
      <c r="N55" s="152"/>
      <c r="O55" s="152"/>
      <c r="P55" s="152"/>
      <c r="Q55" s="152"/>
      <c r="R55" s="152"/>
    </row>
    <row r="56" spans="3:18" ht="12" thickBot="1" x14ac:dyDescent="0.4">
      <c r="C56" s="111"/>
      <c r="D56" s="160"/>
      <c r="E56" s="161" t="s">
        <v>147</v>
      </c>
      <c r="F56" s="162"/>
      <c r="G56" s="163"/>
      <c r="H56" s="164"/>
      <c r="I56" s="164"/>
      <c r="J56" s="164"/>
      <c r="K56" s="164"/>
      <c r="L56" s="164"/>
      <c r="M56" s="165"/>
      <c r="N56" s="165"/>
      <c r="O56" s="165"/>
      <c r="P56" s="165"/>
      <c r="Q56" s="165"/>
      <c r="R56" s="165"/>
    </row>
    <row r="57" spans="3:18" ht="12" thickBot="1" x14ac:dyDescent="0.4">
      <c r="C57" s="351" t="s">
        <v>148</v>
      </c>
      <c r="D57" s="352"/>
      <c r="E57" s="352"/>
      <c r="F57" s="352"/>
      <c r="G57" s="353"/>
      <c r="H57" s="166">
        <f t="shared" ref="H57:R57" si="9">H50+H53+H56</f>
        <v>137788.76</v>
      </c>
      <c r="I57" s="167">
        <f t="shared" si="9"/>
        <v>1667859.5273182481</v>
      </c>
      <c r="J57" s="167">
        <f t="shared" si="9"/>
        <v>1420221.4208743854</v>
      </c>
      <c r="K57" s="167">
        <f t="shared" si="9"/>
        <v>1244620.9202649409</v>
      </c>
      <c r="L57" s="167">
        <f t="shared" si="9"/>
        <v>1632520.0899350473</v>
      </c>
      <c r="M57" s="117">
        <f t="shared" si="9"/>
        <v>1966280.7430242193</v>
      </c>
      <c r="N57" s="117">
        <f t="shared" si="9"/>
        <v>2539940.8508773437</v>
      </c>
      <c r="O57" s="117">
        <f t="shared" si="9"/>
        <v>3617213.7927385587</v>
      </c>
      <c r="P57" s="117">
        <f t="shared" si="9"/>
        <v>5849674.4577834951</v>
      </c>
      <c r="Q57" s="117">
        <f t="shared" si="9"/>
        <v>9809548.3210160062</v>
      </c>
      <c r="R57" s="117">
        <f t="shared" si="9"/>
        <v>14712065.562061179</v>
      </c>
    </row>
    <row r="58" spans="3:18" x14ac:dyDescent="0.35">
      <c r="C58" s="168"/>
      <c r="D58" s="137"/>
      <c r="E58" s="134"/>
      <c r="F58" s="135"/>
      <c r="G58" s="136"/>
      <c r="H58" s="138"/>
      <c r="I58" s="134"/>
      <c r="J58" s="138"/>
      <c r="K58" s="138"/>
      <c r="L58" s="134"/>
      <c r="M58" s="138"/>
      <c r="N58" s="138"/>
      <c r="O58" s="138"/>
      <c r="P58" s="138"/>
      <c r="Q58" s="138"/>
      <c r="R58" s="138"/>
    </row>
    <row r="59" spans="3:18" ht="12" customHeight="1" x14ac:dyDescent="0.35">
      <c r="C59" s="141"/>
      <c r="D59" s="106" t="s">
        <v>164</v>
      </c>
      <c r="E59" s="113"/>
      <c r="F59" s="127"/>
      <c r="G59" s="114"/>
      <c r="H59" s="169"/>
      <c r="I59" s="170">
        <f>'Amortissement dettes'!G19</f>
        <v>425794.38052485028</v>
      </c>
      <c r="J59" s="169">
        <f>'Amortissement dettes'!G31</f>
        <v>326419.78544899297</v>
      </c>
      <c r="K59" s="169">
        <f>'Amortissement dettes'!G43</f>
        <v>226547.17714755522</v>
      </c>
      <c r="L59" s="170">
        <f>'Amortissement dettes'!G55</f>
        <v>126174.05984007464</v>
      </c>
      <c r="M59" s="169">
        <f>'Amortissement dettes'!G67</f>
        <v>25297.925238549185</v>
      </c>
      <c r="N59" s="169">
        <v>0</v>
      </c>
      <c r="O59" s="169">
        <v>0</v>
      </c>
      <c r="P59" s="169">
        <v>0</v>
      </c>
      <c r="Q59" s="169">
        <v>0</v>
      </c>
      <c r="R59" s="169">
        <v>0</v>
      </c>
    </row>
    <row r="60" spans="3:18" ht="12" customHeight="1" x14ac:dyDescent="0.35">
      <c r="C60" s="141"/>
      <c r="D60" s="106"/>
      <c r="E60" s="113"/>
      <c r="F60" s="127"/>
      <c r="G60" s="114"/>
      <c r="H60" s="169"/>
      <c r="I60" s="170"/>
      <c r="J60" s="169"/>
      <c r="K60" s="169"/>
      <c r="L60" s="170"/>
      <c r="M60" s="169"/>
      <c r="N60" s="169"/>
      <c r="O60" s="169"/>
      <c r="P60" s="169"/>
      <c r="Q60" s="169"/>
      <c r="R60" s="169"/>
    </row>
    <row r="61" spans="3:18" ht="12" customHeight="1" x14ac:dyDescent="0.35">
      <c r="C61" s="141"/>
      <c r="D61" s="106" t="s">
        <v>269</v>
      </c>
      <c r="E61" s="113"/>
      <c r="F61" s="127"/>
      <c r="G61" s="114"/>
      <c r="H61" s="169"/>
      <c r="I61" s="170"/>
      <c r="J61" s="169">
        <f>'Amortissement dettes'!L8</f>
        <v>500000</v>
      </c>
      <c r="K61" s="170">
        <f>'Amortissement dettes'!L8</f>
        <v>500000</v>
      </c>
      <c r="L61" s="169">
        <f>'Amortissement dettes'!N22</f>
        <v>400199.89160886576</v>
      </c>
      <c r="M61" s="169">
        <f>'Amortissement dettes'!N34</f>
        <v>300299.93735491554</v>
      </c>
      <c r="N61" s="169">
        <f>'Amortissement dettes'!N46</f>
        <v>200300.03734651124</v>
      </c>
      <c r="O61" s="169">
        <f>'Amortissement dettes'!N58</f>
        <v>100200.09159207715</v>
      </c>
      <c r="P61" s="169">
        <f>'Amortissement dettes'!N70</f>
        <v>2.1282176021486521E-10</v>
      </c>
      <c r="R61" s="169">
        <v>0</v>
      </c>
    </row>
    <row r="62" spans="3:18" ht="12" customHeight="1" x14ac:dyDescent="0.35">
      <c r="C62" s="141"/>
      <c r="D62" s="106"/>
      <c r="E62" s="113"/>
      <c r="F62" s="127"/>
      <c r="G62" s="114"/>
      <c r="H62" s="169"/>
      <c r="I62" s="170"/>
      <c r="J62" s="169"/>
      <c r="K62" s="169"/>
      <c r="L62" s="170"/>
      <c r="M62" s="169"/>
      <c r="N62" s="169"/>
      <c r="O62" s="169"/>
      <c r="P62" s="169"/>
      <c r="Q62" s="169"/>
      <c r="R62" s="169"/>
    </row>
    <row r="63" spans="3:18" ht="11.25" customHeight="1" x14ac:dyDescent="0.35">
      <c r="C63" s="122" t="s">
        <v>106</v>
      </c>
      <c r="D63" s="106" t="s">
        <v>231</v>
      </c>
      <c r="E63" s="113"/>
      <c r="F63" s="127"/>
      <c r="G63" s="114"/>
      <c r="H63" s="109">
        <v>68.900000000000006</v>
      </c>
      <c r="I63" s="107">
        <f>('Compte de résultat'!H65+'Compte de résultat'!H68)/12+('Compte de résultat'!H66+'Compte de résultat'!H69)*2/12</f>
        <v>24977</v>
      </c>
      <c r="J63" s="109">
        <f>('Compte de résultat'!I65+'Compte de résultat'!I68)/12+('Compte de résultat'!I66+'Compte de résultat'!I69)*2/12</f>
        <v>67974.16333333333</v>
      </c>
      <c r="K63" s="109">
        <f>('Compte de résultat'!J65+'Compte de résultat'!J68)/12+('Compte de résultat'!J66+'Compte de résultat'!J69)*2/12</f>
        <v>100485.88</v>
      </c>
      <c r="L63" s="107">
        <f>('Compte de résultat'!K65+'Compte de résultat'!K68)/12+('Compte de résultat'!K66+'Compte de résultat'!K69)*2/12</f>
        <v>121584.595</v>
      </c>
      <c r="M63" s="109">
        <f>('Compte de résultat'!L65+'Compte de résultat'!L68)/12+('Compte de résultat'!L66+'Compte de résultat'!L69)*2/12</f>
        <v>178718.40000000002</v>
      </c>
      <c r="N63" s="109">
        <f>('Compte de résultat'!M65+'Compte de résultat'!M68)/12+('Compte de résultat'!M66+'Compte de résultat'!M69)*2/12</f>
        <v>198357.75</v>
      </c>
      <c r="O63" s="109">
        <f>('Compte de résultat'!N65+'Compte de résultat'!N68)/12+('Compte de résultat'!N66+'Compte de résultat'!N69)*2/12</f>
        <v>213916.95</v>
      </c>
      <c r="P63" s="109">
        <f>('Compte de résultat'!O65+'Compte de résultat'!O68)/12+('Compte de résultat'!O66+'Compte de résultat'!O69)*2/12</f>
        <v>229247.55</v>
      </c>
      <c r="Q63" s="109">
        <f>('Compte de résultat'!P65+'Compte de résultat'!P68)/12+('Compte de résultat'!P66+'Compte de résultat'!P69)*2/12</f>
        <v>238140</v>
      </c>
      <c r="R63" s="109">
        <f>('Compte de résultat'!Q65+'Compte de résultat'!Q68)/12+('Compte de résultat'!Q66+'Compte de résultat'!Q69)*2/12</f>
        <v>247801.95</v>
      </c>
    </row>
    <row r="64" spans="3:18" x14ac:dyDescent="0.35">
      <c r="C64" s="122" t="s">
        <v>129</v>
      </c>
      <c r="D64" s="106"/>
      <c r="E64" s="113"/>
      <c r="F64" s="127"/>
      <c r="G64" s="114"/>
      <c r="H64" s="115"/>
      <c r="I64" s="107"/>
      <c r="J64" s="109"/>
      <c r="K64" s="109"/>
      <c r="L64" s="107"/>
      <c r="M64" s="109"/>
      <c r="N64" s="109"/>
      <c r="O64" s="109"/>
      <c r="P64" s="109"/>
      <c r="Q64" s="109"/>
      <c r="R64" s="109"/>
    </row>
    <row r="65" spans="3:18" x14ac:dyDescent="0.35">
      <c r="C65" s="122" t="s">
        <v>114</v>
      </c>
      <c r="D65" s="106" t="s">
        <v>149</v>
      </c>
      <c r="E65" s="113"/>
      <c r="F65" s="127"/>
      <c r="G65" s="114"/>
      <c r="H65" s="109"/>
      <c r="I65" s="109">
        <f>(0.2/12)*('Compte de résultat'!H12-'Compte de résultat'!H20)</f>
        <v>0</v>
      </c>
      <c r="J65" s="109">
        <f>(0.2/12)*('Compte de résultat'!I12-'Compte de résultat'!I20)</f>
        <v>7650</v>
      </c>
      <c r="K65" s="109">
        <f>(0.2/12)*('Compte de résultat'!J12-'Compte de résultat'!J20)</f>
        <v>15300</v>
      </c>
      <c r="L65" s="109">
        <f>(0.2/12)*('Compte de résultat'!K12-'Compte de résultat'!K20)</f>
        <v>30030</v>
      </c>
      <c r="M65" s="109">
        <f>(0.2/12)*('Compte de résultat'!L12-'Compte de résultat'!L20)</f>
        <v>49220</v>
      </c>
      <c r="N65" s="109">
        <f>(0.2/12)*('Compte de résultat'!M12-'Compte de résultat'!M20)</f>
        <v>69657</v>
      </c>
      <c r="O65" s="109">
        <f>(0.2/12)*('Compte de résultat'!N12-'Compte de résultat'!N20)</f>
        <v>98286.399999999994</v>
      </c>
      <c r="P65" s="109">
        <f>(0.2/12)*('Compte de résultat'!O12-'Compte de résultat'!O20)</f>
        <v>138969.79999999999</v>
      </c>
      <c r="Q65" s="109">
        <f>(0.2/12)*('Compte de résultat'!P12-'Compte de résultat'!P20)</f>
        <v>194556.2</v>
      </c>
      <c r="R65" s="109">
        <f>(0.2/12)*('Compte de résultat'!Q12-'Compte de résultat'!Q20)</f>
        <v>233181.3</v>
      </c>
    </row>
    <row r="66" spans="3:18" x14ac:dyDescent="0.35">
      <c r="C66" s="122" t="s">
        <v>114</v>
      </c>
      <c r="D66" s="112"/>
      <c r="E66" s="113"/>
      <c r="F66" s="127"/>
      <c r="G66" s="114"/>
      <c r="H66" s="115"/>
      <c r="I66" s="113"/>
      <c r="J66" s="115"/>
      <c r="K66" s="115"/>
      <c r="L66" s="113"/>
      <c r="M66" s="115"/>
      <c r="N66" s="115"/>
      <c r="O66" s="115"/>
      <c r="P66" s="115"/>
      <c r="Q66" s="115"/>
      <c r="R66" s="115"/>
    </row>
    <row r="67" spans="3:18" x14ac:dyDescent="0.35">
      <c r="C67" s="122" t="s">
        <v>129</v>
      </c>
      <c r="D67" s="106" t="s">
        <v>150</v>
      </c>
      <c r="E67" s="171"/>
      <c r="F67" s="127"/>
      <c r="G67" s="114"/>
      <c r="H67" s="115"/>
      <c r="I67" s="107">
        <f>IF('Compte de résultat'!H116&gt;0,'Compte de résultat'!H116,0)</f>
        <v>4811.4095126519769</v>
      </c>
      <c r="J67" s="109">
        <f>IF('Compte de résultat'!I116&gt;0,'Compte de résultat'!I116,0)</f>
        <v>0</v>
      </c>
      <c r="K67" s="109">
        <f>IF('Compte de résultat'!J116&gt;0,'Compte de résultat'!J116,0)</f>
        <v>0</v>
      </c>
      <c r="L67" s="107">
        <f>IF('Compte de résultat'!K116&gt;0,'Compte de résultat'!K116,0)</f>
        <v>57198.539316152477</v>
      </c>
      <c r="M67" s="109">
        <f>IF('Compte de résultat'!L116&gt;0,'Compte de résultat'!L116,0)</f>
        <v>7640.4533569002942</v>
      </c>
      <c r="N67" s="109">
        <f>IF('Compte de résultat'!M116&gt;0,'Compte de résultat'!M116,0)</f>
        <v>86010.267165104</v>
      </c>
      <c r="O67" s="109">
        <f>IF('Compte de résultat'!N116&gt;0,'Compte de résultat'!N116,0)</f>
        <v>265806.72301269457</v>
      </c>
      <c r="P67" s="109">
        <f>IF('Compte de résultat'!O116&gt;0,'Compte de résultat'!O116,0)</f>
        <v>706387.85793969745</v>
      </c>
      <c r="Q67" s="109">
        <f>IF('Compte de résultat'!P116&gt;0,'Compte de résultat'!P116,0)</f>
        <v>1369940.5050348651</v>
      </c>
      <c r="R67" s="109">
        <f>IF('Compte de résultat'!Q116&gt;0,'Compte de résultat'!Q116,0)</f>
        <v>1728538.3509009012</v>
      </c>
    </row>
    <row r="68" spans="3:18" x14ac:dyDescent="0.35">
      <c r="C68" s="122" t="s">
        <v>151</v>
      </c>
      <c r="D68" s="112"/>
      <c r="E68" s="113"/>
      <c r="F68" s="127"/>
      <c r="G68" s="114"/>
      <c r="H68" s="115"/>
      <c r="I68" s="113"/>
      <c r="J68" s="115"/>
      <c r="K68" s="115"/>
      <c r="L68" s="113"/>
      <c r="M68" s="115"/>
      <c r="N68" s="115"/>
      <c r="O68" s="115"/>
      <c r="P68" s="115"/>
      <c r="Q68" s="115"/>
      <c r="R68" s="115"/>
    </row>
    <row r="69" spans="3:18" ht="12" thickBot="1" x14ac:dyDescent="0.4">
      <c r="C69" s="122"/>
      <c r="D69" s="106" t="s">
        <v>152</v>
      </c>
      <c r="E69" s="113"/>
      <c r="F69" s="127"/>
      <c r="G69" s="114"/>
      <c r="H69" s="152"/>
      <c r="I69" s="113"/>
      <c r="J69" s="152"/>
      <c r="K69" s="115"/>
      <c r="L69" s="113"/>
      <c r="M69" s="115"/>
      <c r="N69" s="115"/>
      <c r="O69" s="115"/>
      <c r="P69" s="115"/>
      <c r="Q69" s="115"/>
      <c r="R69" s="115"/>
    </row>
    <row r="70" spans="3:18" ht="12" thickBot="1" x14ac:dyDescent="0.4">
      <c r="C70" s="351" t="s">
        <v>153</v>
      </c>
      <c r="D70" s="352"/>
      <c r="E70" s="352"/>
      <c r="F70" s="352"/>
      <c r="G70" s="353"/>
      <c r="H70" s="166">
        <f>H63+H59+H65+H67+H69+H61</f>
        <v>68.900000000000006</v>
      </c>
      <c r="I70" s="167">
        <f>I63+I59+I65+I67+I69+I61</f>
        <v>455582.79003750224</v>
      </c>
      <c r="J70" s="167">
        <f t="shared" ref="J70:R70" si="10">J63+J59+J65+J67+J69+J61</f>
        <v>902043.9487823263</v>
      </c>
      <c r="K70" s="167">
        <f t="shared" si="10"/>
        <v>842333.05714755529</v>
      </c>
      <c r="L70" s="167">
        <f t="shared" si="10"/>
        <v>735187.08576509287</v>
      </c>
      <c r="M70" s="167">
        <f t="shared" si="10"/>
        <v>561176.71595036506</v>
      </c>
      <c r="N70" s="167">
        <f t="shared" si="10"/>
        <v>554325.05451161519</v>
      </c>
      <c r="O70" s="167">
        <f t="shared" si="10"/>
        <v>678210.16460477165</v>
      </c>
      <c r="P70" s="167">
        <f t="shared" si="10"/>
        <v>1074605.2079396977</v>
      </c>
      <c r="Q70" s="167">
        <f t="shared" si="10"/>
        <v>1802636.7050348651</v>
      </c>
      <c r="R70" s="167">
        <f t="shared" si="10"/>
        <v>2209521.6009009015</v>
      </c>
    </row>
    <row r="71" spans="3:18" ht="12" thickBot="1" x14ac:dyDescent="0.4">
      <c r="C71" s="172"/>
      <c r="D71" s="112" t="s">
        <v>154</v>
      </c>
      <c r="E71" s="113"/>
      <c r="F71" s="127"/>
      <c r="G71" s="114"/>
      <c r="H71" s="112"/>
      <c r="I71" s="115"/>
      <c r="J71" s="113"/>
      <c r="K71" s="115"/>
      <c r="L71" s="113"/>
      <c r="M71" s="115"/>
      <c r="N71" s="115"/>
      <c r="O71" s="115"/>
      <c r="P71" s="115"/>
      <c r="Q71" s="115"/>
      <c r="R71" s="115"/>
    </row>
    <row r="72" spans="3:18" ht="12" thickBot="1" x14ac:dyDescent="0.4">
      <c r="C72" s="354" t="s">
        <v>155</v>
      </c>
      <c r="D72" s="355"/>
      <c r="E72" s="355"/>
      <c r="F72" s="355"/>
      <c r="G72" s="356"/>
      <c r="H72" s="173">
        <f t="shared" ref="H72:R72" si="11">H57+H70+H71</f>
        <v>137857.66</v>
      </c>
      <c r="I72" s="174">
        <f t="shared" si="11"/>
        <v>2123442.3173557501</v>
      </c>
      <c r="J72" s="174">
        <f t="shared" si="11"/>
        <v>2322265.3696567118</v>
      </c>
      <c r="K72" s="174">
        <f t="shared" si="11"/>
        <v>2086953.9774124962</v>
      </c>
      <c r="L72" s="174">
        <f t="shared" si="11"/>
        <v>2367707.1757001402</v>
      </c>
      <c r="M72" s="175">
        <f t="shared" si="11"/>
        <v>2527457.4589745845</v>
      </c>
      <c r="N72" s="175">
        <f t="shared" si="11"/>
        <v>3094265.9053889588</v>
      </c>
      <c r="O72" s="175">
        <f t="shared" si="11"/>
        <v>4295423.9573433306</v>
      </c>
      <c r="P72" s="175">
        <f t="shared" si="11"/>
        <v>6924279.6657231925</v>
      </c>
      <c r="Q72" s="175">
        <f t="shared" si="11"/>
        <v>11612185.026050871</v>
      </c>
      <c r="R72" s="175">
        <f t="shared" si="11"/>
        <v>16921587.162962079</v>
      </c>
    </row>
    <row r="73" spans="3:18" ht="12" thickBot="1" x14ac:dyDescent="0.4">
      <c r="I73" s="329"/>
    </row>
    <row r="74" spans="3:18" ht="12" thickBot="1" x14ac:dyDescent="0.4">
      <c r="C74" s="357" t="s">
        <v>205</v>
      </c>
      <c r="D74" s="358"/>
      <c r="E74" s="358"/>
      <c r="F74" s="358"/>
      <c r="G74" s="359"/>
      <c r="H74" s="232">
        <f>H21+H23+H25+H27-H70+H69+H59+H61</f>
        <v>497.27</v>
      </c>
      <c r="I74" s="328">
        <f t="shared" ref="I74:R74" si="12">I21+I23+I25+I27-I70+I69+I59+I61</f>
        <v>-29066.742845985282</v>
      </c>
      <c r="J74" s="328">
        <f t="shared" si="12"/>
        <v>22398.211394835496</v>
      </c>
      <c r="K74" s="328">
        <f t="shared" si="12"/>
        <v>42049.13690367277</v>
      </c>
      <c r="L74" s="328">
        <f t="shared" si="12"/>
        <v>23821.105683847505</v>
      </c>
      <c r="M74" s="328">
        <f t="shared" si="12"/>
        <v>88004.048243099591</v>
      </c>
      <c r="N74" s="328">
        <f t="shared" si="12"/>
        <v>20181.027501562698</v>
      </c>
      <c r="O74" s="328">
        <f t="shared" si="12"/>
        <v>-147312.79127936112</v>
      </c>
      <c r="P74" s="328">
        <f t="shared" si="12"/>
        <v>-610669.13740636408</v>
      </c>
      <c r="Q74" s="328">
        <f t="shared" si="12"/>
        <v>-1303831.7250348651</v>
      </c>
      <c r="R74" s="328">
        <f t="shared" si="12"/>
        <v>-1675257.6889342349</v>
      </c>
    </row>
  </sheetData>
  <mergeCells count="10">
    <mergeCell ref="C57:G57"/>
    <mergeCell ref="C70:G70"/>
    <mergeCell ref="C72:G72"/>
    <mergeCell ref="C74:G74"/>
    <mergeCell ref="C2:G2"/>
    <mergeCell ref="C19:G19"/>
    <mergeCell ref="C30:G30"/>
    <mergeCell ref="C31:G31"/>
    <mergeCell ref="C37:R37"/>
    <mergeCell ref="C3:R3"/>
  </mergeCells>
  <conditionalFormatting sqref="B2:C3 B38:B72 D20:G20 B4:B31 D59:G68 B32:M36 H38:M49 B74 C21:G26 D27:G29 D16:G18 C4:G10 C12:G15 D11:G11 H2:R2 B73:R73 N39:R49 H51:R58 B37:C37 H4:R34 H63:R72">
    <cfRule type="cellIs" dxfId="26" priority="26" operator="lessThan">
      <formula>0</formula>
    </cfRule>
  </conditionalFormatting>
  <conditionalFormatting sqref="H38:R49 H58:R58 H54:R56 H63:R69">
    <cfRule type="cellIs" dxfId="25" priority="25" operator="lessThan">
      <formula>0</formula>
    </cfRule>
  </conditionalFormatting>
  <conditionalFormatting sqref="D39:G49 C43:C46 C63:C68 C58:G58 C56:C57 E56 C52:G55 C38:G38 C69:G69 C71:G71 C70 C72 C50 D51:G51">
    <cfRule type="cellIs" dxfId="24" priority="23" operator="lessThan">
      <formula>0</formula>
    </cfRule>
  </conditionalFormatting>
  <conditionalFormatting sqref="C49">
    <cfRule type="cellIs" dxfId="23" priority="22" operator="lessThan">
      <formula>0</formula>
    </cfRule>
  </conditionalFormatting>
  <conditionalFormatting sqref="C48">
    <cfRule type="cellIs" dxfId="22" priority="21" operator="lessThan">
      <formula>0</formula>
    </cfRule>
  </conditionalFormatting>
  <conditionalFormatting sqref="C42">
    <cfRule type="cellIs" dxfId="21" priority="20" operator="lessThan">
      <formula>0</formula>
    </cfRule>
  </conditionalFormatting>
  <conditionalFormatting sqref="C40:C41">
    <cfRule type="cellIs" dxfId="20" priority="19" operator="lessThan">
      <formula>0</formula>
    </cfRule>
  </conditionalFormatting>
  <conditionalFormatting sqref="C19 C30:C31">
    <cfRule type="cellIs" dxfId="19" priority="24" operator="lessThan">
      <formula>0</formula>
    </cfRule>
  </conditionalFormatting>
  <conditionalFormatting sqref="C39">
    <cfRule type="cellIs" dxfId="18" priority="18" operator="lessThan">
      <formula>0</formula>
    </cfRule>
  </conditionalFormatting>
  <conditionalFormatting sqref="H34:R34">
    <cfRule type="cellIs" dxfId="17" priority="16" operator="notEqual">
      <formula>0</formula>
    </cfRule>
    <cfRule type="cellIs" dxfId="16" priority="17" operator="equal">
      <formula>0</formula>
    </cfRule>
  </conditionalFormatting>
  <conditionalFormatting sqref="H50:R50">
    <cfRule type="cellIs" dxfId="15" priority="15" operator="lessThan">
      <formula>0</formula>
    </cfRule>
  </conditionalFormatting>
  <conditionalFormatting sqref="H50:R50">
    <cfRule type="cellIs" dxfId="14" priority="14" operator="lessThan">
      <formula>0</formula>
    </cfRule>
  </conditionalFormatting>
  <conditionalFormatting sqref="E50">
    <cfRule type="cellIs" dxfId="13" priority="13" operator="lessThan">
      <formula>0</formula>
    </cfRule>
  </conditionalFormatting>
  <conditionalFormatting sqref="H74:R74">
    <cfRule type="cellIs" dxfId="12" priority="12" operator="lessThan">
      <formula>0</formula>
    </cfRule>
  </conditionalFormatting>
  <conditionalFormatting sqref="C74">
    <cfRule type="cellIs" dxfId="11" priority="11" operator="lessThan">
      <formula>0</formula>
    </cfRule>
  </conditionalFormatting>
  <conditionalFormatting sqref="C40">
    <cfRule type="cellIs" dxfId="10" priority="10" operator="lessThan">
      <formula>0</formula>
    </cfRule>
  </conditionalFormatting>
  <conditionalFormatting sqref="C16">
    <cfRule type="cellIs" dxfId="9" priority="2" operator="lessThan">
      <formula>0</formula>
    </cfRule>
  </conditionalFormatting>
  <conditionalFormatting sqref="C29">
    <cfRule type="cellIs" dxfId="8" priority="8" operator="lessThan">
      <formula>0</formula>
    </cfRule>
  </conditionalFormatting>
  <conditionalFormatting sqref="C28">
    <cfRule type="cellIs" dxfId="7" priority="7" operator="lessThan">
      <formula>0</formula>
    </cfRule>
  </conditionalFormatting>
  <conditionalFormatting sqref="C51">
    <cfRule type="cellIs" dxfId="6" priority="6" operator="lessThan">
      <formula>0</formula>
    </cfRule>
  </conditionalFormatting>
  <conditionalFormatting sqref="C27">
    <cfRule type="cellIs" dxfId="5" priority="5" operator="lessThan">
      <formula>0</formula>
    </cfRule>
  </conditionalFormatting>
  <conditionalFormatting sqref="C18">
    <cfRule type="cellIs" dxfId="4" priority="4" operator="lessThan">
      <formula>0</formula>
    </cfRule>
  </conditionalFormatting>
  <conditionalFormatting sqref="C17">
    <cfRule type="cellIs" dxfId="3" priority="3" operator="lessThan">
      <formula>0</formula>
    </cfRule>
  </conditionalFormatting>
  <conditionalFormatting sqref="C11">
    <cfRule type="cellIs" dxfId="2" priority="1" operator="lessThan">
      <formula>0</formula>
    </cfRule>
  </conditionalFormatting>
  <pageMargins left="0.7" right="0.7" top="0.75" bottom="0.75" header="0.3" footer="0.3"/>
  <pageSetup paperSize="9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5DE02-CF4C-47A4-9E7D-CE0C6F0E867D}">
  <dimension ref="A1:M33"/>
  <sheetViews>
    <sheetView showGridLines="0" workbookViewId="0">
      <selection activeCell="N21" sqref="N21"/>
    </sheetView>
  </sheetViews>
  <sheetFormatPr baseColWidth="10" defaultRowHeight="14.25" x14ac:dyDescent="0.45"/>
  <cols>
    <col min="3" max="3" width="35.3984375" bestFit="1" customWidth="1"/>
    <col min="4" max="8" width="12.33203125" bestFit="1" customWidth="1"/>
    <col min="9" max="13" width="11.33203125" bestFit="1" customWidth="1"/>
  </cols>
  <sheetData>
    <row r="1" spans="1:13" x14ac:dyDescent="0.45">
      <c r="A1" t="s">
        <v>184</v>
      </c>
      <c r="B1" s="84">
        <v>0.3</v>
      </c>
    </row>
    <row r="2" spans="1:13" ht="14.65" thickBot="1" x14ac:dyDescent="0.5"/>
    <row r="3" spans="1:13" ht="14.65" thickBot="1" x14ac:dyDescent="0.5">
      <c r="B3" s="193" t="s">
        <v>182</v>
      </c>
      <c r="C3" s="194" t="s">
        <v>183</v>
      </c>
      <c r="D3" s="205" t="s">
        <v>221</v>
      </c>
      <c r="E3" s="205" t="s">
        <v>222</v>
      </c>
      <c r="F3" s="205" t="s">
        <v>223</v>
      </c>
      <c r="G3" s="205" t="s">
        <v>224</v>
      </c>
      <c r="H3" s="205" t="s">
        <v>225</v>
      </c>
      <c r="I3" s="205" t="s">
        <v>253</v>
      </c>
      <c r="J3" s="205" t="s">
        <v>254</v>
      </c>
      <c r="K3" s="205" t="s">
        <v>255</v>
      </c>
      <c r="L3" s="205" t="s">
        <v>256</v>
      </c>
      <c r="M3" s="205" t="s">
        <v>257</v>
      </c>
    </row>
    <row r="4" spans="1:13" x14ac:dyDescent="0.45">
      <c r="B4" s="195">
        <v>0.8</v>
      </c>
      <c r="C4" s="196" t="str">
        <f>IF('Hypothèses de recrutement'!F5=17%,'Hypothèses de recrutement'!C5,"")</f>
        <v>Ingénieur 1</v>
      </c>
      <c r="D4" s="200">
        <f>$B4*'Hypothèses de recrutement'!G5</f>
        <v>27520</v>
      </c>
      <c r="E4" s="201">
        <f>$B4*'Hypothèses de recrutement'!H5</f>
        <v>42518.400000000001</v>
      </c>
      <c r="F4" s="201">
        <f>$B4*'Hypothèses de recrutement'!I5</f>
        <v>43756.800000000003</v>
      </c>
      <c r="G4" s="201">
        <f>$B4*'Hypothèses de recrutement'!J5</f>
        <v>44995.200000000012</v>
      </c>
      <c r="H4" s="202">
        <f>$B4*'Hypothèses de recrutement'!K5</f>
        <v>46233.600000000006</v>
      </c>
      <c r="I4" s="202">
        <f>$B4*'Hypothèses de recrutement'!L5</f>
        <v>47472</v>
      </c>
      <c r="J4" s="202">
        <f>$B4*'Hypothèses de recrutement'!M5</f>
        <v>48297.599999999999</v>
      </c>
      <c r="K4" s="202">
        <f>$B4*'Hypothèses de recrutement'!N5</f>
        <v>49123.200000000004</v>
      </c>
      <c r="L4" s="202">
        <f>$B4*'Hypothèses de recrutement'!O5</f>
        <v>49536</v>
      </c>
      <c r="M4" s="202">
        <f>$B4*'Hypothèses de recrutement'!P5</f>
        <v>49948.800000000003</v>
      </c>
    </row>
    <row r="5" spans="1:13" x14ac:dyDescent="0.45">
      <c r="B5" s="191">
        <v>0.8</v>
      </c>
      <c r="C5" s="197" t="str">
        <f>IF('Hypothèses de recrutement'!F6=17%,'Hypothèses de recrutement'!C6,"")</f>
        <v/>
      </c>
      <c r="D5" s="203">
        <f>$B5*'Hypothèses de recrutement'!G6</f>
        <v>18560</v>
      </c>
      <c r="E5" s="179">
        <f>$B5*'Hypothèses de recrutement'!H6</f>
        <v>28675.200000000001</v>
      </c>
      <c r="F5" s="179">
        <f>$B5*'Hypothèses de recrutement'!I6</f>
        <v>29510.400000000001</v>
      </c>
      <c r="G5" s="179">
        <f>$B5*'Hypothèses de recrutement'!J6</f>
        <v>30345.600000000002</v>
      </c>
      <c r="H5" s="180">
        <f>$B5*'Hypothèses de recrutement'!K6</f>
        <v>31180.800000000007</v>
      </c>
      <c r="I5" s="180">
        <f>$B5*'Hypothèses de recrutement'!L6</f>
        <v>32016</v>
      </c>
      <c r="J5" s="180">
        <f>$B5*'Hypothèses de recrutement'!M6</f>
        <v>32572.800000000003</v>
      </c>
      <c r="K5" s="180">
        <f>$B5*'Hypothèses de recrutement'!N6</f>
        <v>33129.599999999999</v>
      </c>
      <c r="L5" s="180">
        <f>$B5*'Hypothèses de recrutement'!O6</f>
        <v>33408</v>
      </c>
      <c r="M5" s="180">
        <f>$B5*'Hypothèses de recrutement'!P6</f>
        <v>33686.400000000001</v>
      </c>
    </row>
    <row r="6" spans="1:13" x14ac:dyDescent="0.45">
      <c r="B6" s="191">
        <v>0.8</v>
      </c>
      <c r="C6" s="197" t="str">
        <f>IF('Hypothèses de recrutement'!F7=17%,'Hypothèses de recrutement'!C7,"")</f>
        <v>CTO data scientist</v>
      </c>
      <c r="D6" s="203">
        <f>$B6*'Hypothèses de recrutement'!G7</f>
        <v>44800</v>
      </c>
      <c r="E6" s="179">
        <f>$B6*'Hypothèses de recrutement'!H7</f>
        <v>69216</v>
      </c>
      <c r="F6" s="179">
        <f>$B6*'Hypothèses de recrutement'!I7</f>
        <v>71232</v>
      </c>
      <c r="G6" s="179">
        <f>$B6*'Hypothèses de recrutement'!J7</f>
        <v>73248</v>
      </c>
      <c r="H6" s="180">
        <f>$B6*'Hypothèses de recrutement'!K7</f>
        <v>75264.000000000015</v>
      </c>
      <c r="I6" s="180">
        <f>$B6*'Hypothèses de recrutement'!L7</f>
        <v>77279.999999999985</v>
      </c>
      <c r="J6" s="180">
        <f>$B6*'Hypothèses de recrutement'!M7</f>
        <v>78624</v>
      </c>
      <c r="K6" s="180">
        <f>$B6*'Hypothèses de recrutement'!N7</f>
        <v>79968</v>
      </c>
      <c r="L6" s="180">
        <f>$B6*'Hypothèses de recrutement'!O7</f>
        <v>80640</v>
      </c>
      <c r="M6" s="180">
        <f>$B6*'Hypothèses de recrutement'!P7</f>
        <v>81312</v>
      </c>
    </row>
    <row r="7" spans="1:13" x14ac:dyDescent="0.45">
      <c r="B7" s="191">
        <v>1</v>
      </c>
      <c r="C7" s="197" t="str">
        <f>IF('Hypothèses de recrutement'!F12=17%,'Hypothèses de recrutement'!C12,"")</f>
        <v>Ingénieur 3</v>
      </c>
      <c r="D7" s="203">
        <f>$B7*'Hypothèses de recrutement'!G12</f>
        <v>0</v>
      </c>
      <c r="E7" s="179">
        <f>$B7*'Hypothèses de recrutement'!H12</f>
        <v>0</v>
      </c>
      <c r="F7" s="179">
        <f>$B7*'Hypothèses de recrutement'!I12</f>
        <v>13674</v>
      </c>
      <c r="G7" s="179">
        <f>$B7*'Hypothèses de recrutement'!J12</f>
        <v>56244.000000000007</v>
      </c>
      <c r="H7" s="180">
        <f>$B7*'Hypothèses de recrutement'!K12</f>
        <v>57792.000000000007</v>
      </c>
      <c r="I7" s="180">
        <f>$B7*'Hypothèses de recrutement'!L12</f>
        <v>59339.999999999993</v>
      </c>
      <c r="J7" s="180">
        <f>$B7*'Hypothèses de recrutement'!M12</f>
        <v>60371.999999999993</v>
      </c>
      <c r="K7" s="180">
        <f>$B7*'Hypothèses de recrutement'!N12</f>
        <v>61404</v>
      </c>
      <c r="L7" s="180">
        <f>$B7*'Hypothèses de recrutement'!O12</f>
        <v>61920</v>
      </c>
      <c r="M7" s="180">
        <f>$B7*'Hypothèses de recrutement'!P12</f>
        <v>62436</v>
      </c>
    </row>
    <row r="8" spans="1:13" x14ac:dyDescent="0.45">
      <c r="B8" s="191">
        <v>1</v>
      </c>
      <c r="C8" s="197" t="str">
        <f>IF('Hypothèses de recrutement'!F14=17%,'Hypothèses de recrutement'!C14,"")</f>
        <v/>
      </c>
      <c r="D8" s="203">
        <f>$B8*'Hypothèses de recrutement'!G14</f>
        <v>31200</v>
      </c>
      <c r="E8" s="179">
        <f>$B8*'Hypothèses de recrutement'!H14</f>
        <v>64272</v>
      </c>
      <c r="F8" s="179">
        <f>$B8*'Hypothèses de recrutement'!I14</f>
        <v>66144</v>
      </c>
      <c r="G8" s="179">
        <f>$B8*'Hypothèses de recrutement'!J14</f>
        <v>68016</v>
      </c>
      <c r="H8" s="180">
        <f>$B8*'Hypothèses de recrutement'!K14</f>
        <v>69888</v>
      </c>
      <c r="I8" s="180">
        <f>$B8*'Hypothèses de recrutement'!L14</f>
        <v>71760</v>
      </c>
      <c r="J8" s="180">
        <f>$B8*'Hypothèses de recrutement'!M14</f>
        <v>73008</v>
      </c>
      <c r="K8" s="180">
        <f>$B8*'Hypothèses de recrutement'!N14</f>
        <v>74256</v>
      </c>
      <c r="L8" s="180">
        <f>$B8*'Hypothèses de recrutement'!O14</f>
        <v>74880</v>
      </c>
      <c r="M8" s="180">
        <f>$B8*'Hypothèses de recrutement'!P14</f>
        <v>75504</v>
      </c>
    </row>
    <row r="9" spans="1:13" x14ac:dyDescent="0.45">
      <c r="B9" s="191">
        <v>1</v>
      </c>
      <c r="C9" s="197" t="str">
        <f>IF('Hypothèses de recrutement'!F15=17%,'Hypothèses de recrutement'!C15,"")</f>
        <v/>
      </c>
      <c r="D9" s="203">
        <f>$B9*'Hypothèses de recrutement'!G15</f>
        <v>0</v>
      </c>
      <c r="E9" s="179">
        <f>$B9*'Hypothèses de recrutement'!H15</f>
        <v>0</v>
      </c>
      <c r="F9" s="179">
        <f>$B9*'Hypothèses de recrutement'!I15</f>
        <v>0</v>
      </c>
      <c r="G9" s="179">
        <f>$B9*'Hypothèses de recrutement'!J15</f>
        <v>0</v>
      </c>
      <c r="H9" s="180">
        <f>$B9*'Hypothèses de recrutement'!K15</f>
        <v>39312.000000000007</v>
      </c>
      <c r="I9" s="180">
        <f>$B9*'Hypothèses de recrutement'!L15</f>
        <v>53819.999999999993</v>
      </c>
      <c r="J9" s="180">
        <f>$B9*'Hypothèses de recrutement'!M15</f>
        <v>54756</v>
      </c>
      <c r="K9" s="180">
        <f>$B9*'Hypothèses de recrutement'!N15</f>
        <v>55692</v>
      </c>
      <c r="L9" s="180">
        <f>$B9*'Hypothèses de recrutement'!O15</f>
        <v>56160</v>
      </c>
      <c r="M9" s="180">
        <f>$B9*'Hypothèses de recrutement'!P15</f>
        <v>56628</v>
      </c>
    </row>
    <row r="10" spans="1:13" x14ac:dyDescent="0.45">
      <c r="B10" s="191">
        <v>0.8</v>
      </c>
      <c r="C10" s="197" t="str">
        <f>IF('Hypothèses de recrutement'!F16=17%,'Hypothèses de recrutement'!C16,"")</f>
        <v>Doctorant (thèse)</v>
      </c>
      <c r="D10" s="203">
        <f>$B10*'Hypothèses de recrutement'!G16</f>
        <v>0</v>
      </c>
      <c r="E10" s="179">
        <f>$B10*'Hypothèses de recrutement'!H16</f>
        <v>22248</v>
      </c>
      <c r="F10" s="179">
        <f>$B10*'Hypothèses de recrutement'!I16</f>
        <v>30528</v>
      </c>
      <c r="G10" s="179">
        <f>$B10*'Hypothèses de recrutement'!J16</f>
        <v>31392</v>
      </c>
      <c r="H10" s="180">
        <f>$B10*'Hypothèses de recrutement'!K16</f>
        <v>32256.000000000007</v>
      </c>
      <c r="I10" s="180">
        <f>$B10*'Hypothèses de recrutement'!L16</f>
        <v>33120</v>
      </c>
      <c r="J10" s="180">
        <f>$B10*'Hypothèses de recrutement'!M16</f>
        <v>33696</v>
      </c>
      <c r="K10" s="180">
        <f>$B10*'Hypothèses de recrutement'!N16</f>
        <v>34272</v>
      </c>
      <c r="L10" s="180">
        <f>$B10*'Hypothèses de recrutement'!O16</f>
        <v>34560</v>
      </c>
      <c r="M10" s="180">
        <f>$B10*'Hypothèses de recrutement'!P16</f>
        <v>34848</v>
      </c>
    </row>
    <row r="11" spans="1:13" x14ac:dyDescent="0.45">
      <c r="B11" s="191">
        <v>0.8</v>
      </c>
      <c r="C11" s="197" t="str">
        <f>IF('Hypothèses de recrutement'!F17=17%,'Hypothèses de recrutement'!C17,"")</f>
        <v>Post doc 1</v>
      </c>
      <c r="D11" s="203">
        <f>$B11*'Hypothèses de recrutement'!G17</f>
        <v>0</v>
      </c>
      <c r="E11" s="179">
        <f>$B11*'Hypothèses de recrutement'!H17</f>
        <v>0</v>
      </c>
      <c r="F11" s="179">
        <f>$B11*'Hypothèses de recrutement'!I17</f>
        <v>32817.599999999999</v>
      </c>
      <c r="G11" s="179">
        <f>$B11*'Hypothèses de recrutement'!J17</f>
        <v>44995.200000000012</v>
      </c>
      <c r="H11" s="180">
        <f>$B11*'Hypothèses de recrutement'!K17</f>
        <v>46233.600000000006</v>
      </c>
      <c r="I11" s="180">
        <f>$B11*'Hypothèses de recrutement'!L17</f>
        <v>47472</v>
      </c>
      <c r="J11" s="180">
        <f>$B11*'Hypothèses de recrutement'!M17</f>
        <v>48297.599999999999</v>
      </c>
      <c r="K11" s="180">
        <f>$B11*'Hypothèses de recrutement'!N17</f>
        <v>49123.200000000004</v>
      </c>
      <c r="L11" s="180">
        <f>$B11*'Hypothèses de recrutement'!O17</f>
        <v>49536</v>
      </c>
      <c r="M11" s="180">
        <f>$B11*'Hypothèses de recrutement'!P17</f>
        <v>49948.800000000003</v>
      </c>
    </row>
    <row r="12" spans="1:13" x14ac:dyDescent="0.45">
      <c r="B12" s="191">
        <v>0.3</v>
      </c>
      <c r="C12" s="197" t="str">
        <f>IF('Hypothèses de recrutement'!F18=17%,'Hypothèses de recrutement'!C18,"")</f>
        <v>Post doc 2</v>
      </c>
      <c r="D12" s="203">
        <f>$B12*'Hypothèses de recrutement'!G18</f>
        <v>0</v>
      </c>
      <c r="E12" s="179">
        <f>$B12*'Hypothèses de recrutement'!H18</f>
        <v>0</v>
      </c>
      <c r="F12" s="179">
        <f>$B12*'Hypothèses de recrutement'!I18</f>
        <v>0</v>
      </c>
      <c r="G12" s="179">
        <f>$B12*'Hypothèses de recrutement'!J18</f>
        <v>12654.9</v>
      </c>
      <c r="H12" s="180">
        <f>$B12*'Hypothèses de recrutement'!K18</f>
        <v>17337.600000000002</v>
      </c>
      <c r="I12" s="180">
        <f>$B12*'Hypothèses de recrutement'!L18</f>
        <v>17801.999999999996</v>
      </c>
      <c r="J12" s="180">
        <f>$B12*'Hypothèses de recrutement'!M18</f>
        <v>18111.599999999999</v>
      </c>
      <c r="K12" s="180">
        <f>$B12*'Hypothèses de recrutement'!N18</f>
        <v>18421.2</v>
      </c>
      <c r="L12" s="180">
        <f>$B12*'Hypothèses de recrutement'!O18</f>
        <v>18576</v>
      </c>
      <c r="M12" s="180">
        <f>$B12*'Hypothèses de recrutement'!P18</f>
        <v>18730.8</v>
      </c>
    </row>
    <row r="13" spans="1:13" x14ac:dyDescent="0.45">
      <c r="B13" s="191">
        <v>0.5</v>
      </c>
      <c r="C13" s="197" t="str">
        <f>IF('Hypothèses de recrutement'!F19=17%,'Hypothèses de recrutement'!C19,"")</f>
        <v>Resp études transition num. RSE</v>
      </c>
      <c r="D13" s="203">
        <f>$B13*'Hypothèses de recrutement'!G19</f>
        <v>0</v>
      </c>
      <c r="E13" s="179">
        <f>$B13*'Hypothèses de recrutement'!H19</f>
        <v>17149.5</v>
      </c>
      <c r="F13" s="179">
        <f>$B13*'Hypothèses de recrutement'!I19</f>
        <v>23532</v>
      </c>
      <c r="G13" s="179">
        <f>$B13*'Hypothèses de recrutement'!J19</f>
        <v>24198</v>
      </c>
      <c r="H13" s="180">
        <f>$B13*'Hypothèses de recrutement'!K19</f>
        <v>24864.000000000004</v>
      </c>
      <c r="I13" s="180">
        <f>$B13*'Hypothèses de recrutement'!L19</f>
        <v>25529.999999999996</v>
      </c>
      <c r="J13" s="180">
        <f>$B13*'Hypothèses de recrutement'!M19</f>
        <v>25974</v>
      </c>
      <c r="K13" s="180">
        <f>$B13*'Hypothèses de recrutement'!N19</f>
        <v>26418</v>
      </c>
      <c r="L13" s="180">
        <f>$B13*'Hypothèses de recrutement'!O19</f>
        <v>26640</v>
      </c>
      <c r="M13" s="180">
        <f>$B13*'Hypothèses de recrutement'!P19</f>
        <v>26862</v>
      </c>
    </row>
    <row r="14" spans="1:13" ht="13.15" customHeight="1" x14ac:dyDescent="0.45">
      <c r="B14" s="191">
        <v>0.5</v>
      </c>
      <c r="C14" s="197" t="str">
        <f>IF('Hypothèses de recrutement'!F20=17%,'Hypothèses de recrutement'!C20,"")</f>
        <v>Resp études expé - transitions num.</v>
      </c>
      <c r="D14" s="203">
        <f>$B14*'Hypothèses de recrutement'!G20</f>
        <v>0</v>
      </c>
      <c r="E14" s="179">
        <f>$B14*'Hypothèses de recrutement'!H20</f>
        <v>17149.5</v>
      </c>
      <c r="F14" s="179">
        <f>$B14*'Hypothèses de recrutement'!I20</f>
        <v>23532</v>
      </c>
      <c r="G14" s="179">
        <f>$B14*'Hypothèses de recrutement'!J20</f>
        <v>24198</v>
      </c>
      <c r="H14" s="180">
        <f>$B14*'Hypothèses de recrutement'!K20</f>
        <v>24864.000000000004</v>
      </c>
      <c r="I14" s="180">
        <f>$B14*'Hypothèses de recrutement'!L20</f>
        <v>25529.999999999996</v>
      </c>
      <c r="J14" s="180">
        <f>$B14*'Hypothèses de recrutement'!M20</f>
        <v>25974</v>
      </c>
      <c r="K14" s="180">
        <f>$B14*'Hypothèses de recrutement'!N20</f>
        <v>26418</v>
      </c>
      <c r="L14" s="180">
        <f>$B14*'Hypothèses de recrutement'!O20</f>
        <v>26640</v>
      </c>
      <c r="M14" s="180">
        <f>$B14*'Hypothèses de recrutement'!P20</f>
        <v>26862</v>
      </c>
    </row>
    <row r="15" spans="1:13" x14ac:dyDescent="0.45">
      <c r="B15" s="191">
        <v>0.8</v>
      </c>
      <c r="C15" s="197" t="str">
        <f>IF('Hypothèses de recrutement'!F21=17%,'Hypothèses de recrutement'!C21,"")</f>
        <v/>
      </c>
      <c r="D15" s="203">
        <f>$B15*'Hypothèses de recrutement'!G21</f>
        <v>0</v>
      </c>
      <c r="E15" s="179">
        <f>$B15*'Hypothèses de recrutement'!H21</f>
        <v>0</v>
      </c>
      <c r="F15" s="179">
        <f>$B15*'Hypothèses de recrutement'!I21</f>
        <v>14755.2</v>
      </c>
      <c r="G15" s="179">
        <f>$B15*'Hypothèses de recrutement'!J21</f>
        <v>30345.600000000002</v>
      </c>
      <c r="H15" s="180">
        <f>$B15*'Hypothèses de recrutement'!K21</f>
        <v>31180.800000000007</v>
      </c>
      <c r="I15" s="180">
        <f>$B15*'Hypothèses de recrutement'!L21</f>
        <v>32016</v>
      </c>
      <c r="J15" s="180">
        <f>$B15*'Hypothèses de recrutement'!M21</f>
        <v>32572.800000000003</v>
      </c>
      <c r="K15" s="180">
        <f>$B15*'Hypothèses de recrutement'!N21</f>
        <v>33129.599999999999</v>
      </c>
      <c r="L15" s="180">
        <f>$B15*'Hypothèses de recrutement'!O21</f>
        <v>33408</v>
      </c>
      <c r="M15" s="180">
        <f>$B15*'Hypothèses de recrutement'!P21</f>
        <v>33686.400000000001</v>
      </c>
    </row>
    <row r="16" spans="1:13" x14ac:dyDescent="0.45">
      <c r="B16" s="191">
        <v>0.8</v>
      </c>
      <c r="C16" s="197" t="str">
        <f>IF('Hypothèses de recrutement'!F22=17%,'Hypothèses de recrutement'!C22,"")</f>
        <v/>
      </c>
      <c r="D16" s="203">
        <f>$B16*'Hypothèses de recrutement'!G22</f>
        <v>0</v>
      </c>
      <c r="E16" s="179">
        <f>$B16*'Hypothèses de recrutement'!H22</f>
        <v>0</v>
      </c>
      <c r="F16" s="179">
        <f>$B16*'Hypothèses de recrutement'!I22</f>
        <v>0</v>
      </c>
      <c r="G16" s="179">
        <f>$B16*'Hypothèses de recrutement'!J22</f>
        <v>0</v>
      </c>
      <c r="H16" s="180">
        <f>$B16*'Hypothèses de recrutement'!K22</f>
        <v>0</v>
      </c>
      <c r="I16" s="180">
        <f>$B16*'Hypothèses de recrutement'!L22</f>
        <v>0</v>
      </c>
      <c r="J16" s="180">
        <f>$B16*'Hypothèses de recrutement'!M22</f>
        <v>16286.400000000001</v>
      </c>
      <c r="K16" s="180">
        <f>$B16*'Hypothèses de recrutement'!N22</f>
        <v>33129.599999999999</v>
      </c>
      <c r="L16" s="180">
        <f>$B16*'Hypothèses de recrutement'!O22</f>
        <v>33408</v>
      </c>
      <c r="M16" s="180">
        <f>$B16*'Hypothèses de recrutement'!P22</f>
        <v>33686.400000000001</v>
      </c>
    </row>
    <row r="17" spans="2:13" x14ac:dyDescent="0.45">
      <c r="B17" s="191">
        <v>1</v>
      </c>
      <c r="C17" s="197" t="str">
        <f>IF('Hypothèses de recrutement'!F28=17%,'Hypothèses de recrutement'!C28,"")</f>
        <v>Doctorant (thèse)</v>
      </c>
      <c r="D17" s="203">
        <f>$B17*'Hypothèses de recrutement'!G28</f>
        <v>0</v>
      </c>
      <c r="E17" s="179">
        <f>$B17*'Hypothèses de recrutement'!H28</f>
        <v>0</v>
      </c>
      <c r="F17" s="179">
        <f>$B17*'Hypothèses de recrutement'!I28</f>
        <v>0</v>
      </c>
      <c r="G17" s="179">
        <f>$B17*'Hypothèses de recrutement'!J28</f>
        <v>0</v>
      </c>
      <c r="H17" s="180">
        <f>$B17*'Hypothèses de recrutement'!K28</f>
        <v>0</v>
      </c>
      <c r="I17" s="180">
        <f>$B17*'Hypothèses de recrutement'!L28</f>
        <v>0</v>
      </c>
      <c r="J17" s="180">
        <f>$B17*'Hypothèses de recrutement'!M28</f>
        <v>0</v>
      </c>
      <c r="K17" s="180">
        <f>$B17*'Hypothèses de recrutement'!N28</f>
        <v>0</v>
      </c>
      <c r="L17" s="180">
        <f>$B17*'Hypothèses de recrutement'!O28</f>
        <v>32400</v>
      </c>
      <c r="M17" s="180">
        <f>$B17*'Hypothèses de recrutement'!P28</f>
        <v>43560</v>
      </c>
    </row>
    <row r="18" spans="2:13" x14ac:dyDescent="0.45">
      <c r="B18" s="191">
        <v>0.8</v>
      </c>
      <c r="C18" s="197" t="str">
        <f>IF('Hypothèses de recrutement'!F29=17%,'Hypothèses de recrutement'!C29,"")</f>
        <v>Post doc 3</v>
      </c>
      <c r="D18" s="203">
        <f>$B18*'Hypothèses de recrutement'!G29</f>
        <v>0</v>
      </c>
      <c r="E18" s="179">
        <f>$B18*'Hypothèses de recrutement'!H29</f>
        <v>0</v>
      </c>
      <c r="F18" s="179">
        <f>$B18*'Hypothèses de recrutement'!I29</f>
        <v>0</v>
      </c>
      <c r="G18" s="179">
        <f>$B18*'Hypothèses de recrutement'!J29</f>
        <v>0</v>
      </c>
      <c r="H18" s="180">
        <f>$B18*'Hypothèses de recrutement'!K29</f>
        <v>0</v>
      </c>
      <c r="I18" s="180">
        <f>$B18*'Hypothèses de recrutement'!L29</f>
        <v>35604</v>
      </c>
      <c r="J18" s="180">
        <f>$B18*'Hypothèses de recrutement'!M29</f>
        <v>48297.599999999999</v>
      </c>
      <c r="K18" s="180">
        <f>$B18*'Hypothèses de recrutement'!N29</f>
        <v>49123.200000000004</v>
      </c>
      <c r="L18" s="180">
        <f>$B18*'Hypothèses de recrutement'!O29</f>
        <v>49536</v>
      </c>
      <c r="M18" s="180">
        <f>$B18*'Hypothèses de recrutement'!P29</f>
        <v>49948.800000000003</v>
      </c>
    </row>
    <row r="19" spans="2:13" x14ac:dyDescent="0.45">
      <c r="B19" s="191">
        <v>0.8</v>
      </c>
      <c r="C19" s="197" t="str">
        <f>IF('Hypothèses de recrutement'!F30=17%,'Hypothèses de recrutement'!C30,"")</f>
        <v>Post doc 4</v>
      </c>
      <c r="D19" s="203">
        <f>$B19*'Hypothèses de recrutement'!G30</f>
        <v>0</v>
      </c>
      <c r="E19" s="179">
        <f>$B19*'Hypothèses de recrutement'!H30</f>
        <v>0</v>
      </c>
      <c r="F19" s="179">
        <f>$B19*'Hypothèses de recrutement'!I30</f>
        <v>0</v>
      </c>
      <c r="G19" s="179">
        <f>$B19*'Hypothèses de recrutement'!J30</f>
        <v>0</v>
      </c>
      <c r="H19" s="180">
        <f>$B19*'Hypothèses de recrutement'!K30</f>
        <v>0</v>
      </c>
      <c r="I19" s="180">
        <f>$B19*'Hypothèses de recrutement'!L30</f>
        <v>0</v>
      </c>
      <c r="J19" s="180">
        <f>$B19*'Hypothèses de recrutement'!M30</f>
        <v>36223.200000000004</v>
      </c>
      <c r="K19" s="180">
        <f>$B19*'Hypothèses de recrutement'!N30</f>
        <v>49123.200000000004</v>
      </c>
      <c r="L19" s="180">
        <f>$B19*'Hypothèses de recrutement'!O30</f>
        <v>49536</v>
      </c>
      <c r="M19" s="180">
        <f>$B19*'Hypothèses de recrutement'!P30</f>
        <v>49948.800000000003</v>
      </c>
    </row>
    <row r="20" spans="2:13" x14ac:dyDescent="0.45">
      <c r="B20" s="191">
        <v>0.5</v>
      </c>
      <c r="C20" s="197" t="str">
        <f>IF('Hypothèses de recrutement'!F31=17%,'Hypothèses de recrutement'!C31,"")</f>
        <v>Resp études transitions num. 1</v>
      </c>
      <c r="D20" s="203">
        <f>$B20*'Hypothèses de recrutement'!G31</f>
        <v>0</v>
      </c>
      <c r="E20" s="179">
        <f>$B20*'Hypothèses de recrutement'!H31</f>
        <v>0</v>
      </c>
      <c r="F20" s="179">
        <f>$B20*'Hypothèses de recrutement'!I31</f>
        <v>17649</v>
      </c>
      <c r="G20" s="179">
        <f>$B20*'Hypothèses de recrutement'!J31</f>
        <v>24198</v>
      </c>
      <c r="H20" s="180">
        <f>$B20*'Hypothèses de recrutement'!K31</f>
        <v>24864.000000000004</v>
      </c>
      <c r="I20" s="180">
        <f>$B20*'Hypothèses de recrutement'!L31</f>
        <v>25529.999999999996</v>
      </c>
      <c r="J20" s="180">
        <f>$B20*'Hypothèses de recrutement'!M31</f>
        <v>25974</v>
      </c>
      <c r="K20" s="180">
        <f>$B20*'Hypothèses de recrutement'!N31</f>
        <v>26418</v>
      </c>
      <c r="L20" s="180">
        <f>$B20*'Hypothèses de recrutement'!O31</f>
        <v>26640</v>
      </c>
      <c r="M20" s="180">
        <f>$B20*'Hypothèses de recrutement'!P31</f>
        <v>26862</v>
      </c>
    </row>
    <row r="21" spans="2:13" x14ac:dyDescent="0.45">
      <c r="B21" s="191">
        <v>0.5</v>
      </c>
      <c r="C21" s="197" t="str">
        <f>IF('Hypothèses de recrutement'!F32=17%,'Hypothèses de recrutement'!C32,"")</f>
        <v>Resp études transitions num. 2</v>
      </c>
      <c r="D21" s="203">
        <f>$B21*'Hypothèses de recrutement'!G32</f>
        <v>0</v>
      </c>
      <c r="E21" s="179">
        <f>$B21*'Hypothèses de recrutement'!H32</f>
        <v>0</v>
      </c>
      <c r="F21" s="179">
        <f>$B21*'Hypothèses de recrutement'!I32</f>
        <v>0</v>
      </c>
      <c r="G21" s="179">
        <f>$B21*'Hypothèses de recrutement'!J32</f>
        <v>0</v>
      </c>
      <c r="H21" s="180">
        <f>$B21*'Hypothèses de recrutement'!K32</f>
        <v>0</v>
      </c>
      <c r="I21" s="180">
        <f>$B21*'Hypothèses de recrutement'!L32</f>
        <v>0</v>
      </c>
      <c r="J21" s="180">
        <f>$B21*'Hypothèses de recrutement'!M32</f>
        <v>0</v>
      </c>
      <c r="K21" s="180">
        <f>$B21*'Hypothèses de recrutement'!N32</f>
        <v>0</v>
      </c>
      <c r="L21" s="180">
        <f>$B21*'Hypothèses de recrutement'!O32</f>
        <v>0</v>
      </c>
      <c r="M21" s="180">
        <f>$B21*'Hypothèses de recrutement'!P32</f>
        <v>20146.5</v>
      </c>
    </row>
    <row r="22" spans="2:13" x14ac:dyDescent="0.45">
      <c r="B22" s="191">
        <v>0.5</v>
      </c>
      <c r="C22" s="197" t="str">
        <f>IF('Hypothèses de recrutement'!F33=17%,'Hypothèses de recrutement'!C33,"")</f>
        <v>Resp études expé</v>
      </c>
      <c r="D22" s="203">
        <f>$B22*'Hypothèses de recrutement'!G33</f>
        <v>0</v>
      </c>
      <c r="E22" s="179">
        <f>$B22*'Hypothèses de recrutement'!H33</f>
        <v>0</v>
      </c>
      <c r="F22" s="179">
        <f>$B22*'Hypothèses de recrutement'!I33</f>
        <v>0</v>
      </c>
      <c r="G22" s="179">
        <f>$B22*'Hypothèses de recrutement'!J33</f>
        <v>0</v>
      </c>
      <c r="H22" s="180">
        <f>$B22*'Hypothèses de recrutement'!K33</f>
        <v>18648</v>
      </c>
      <c r="I22" s="180">
        <f>$B22*'Hypothèses de recrutement'!L33</f>
        <v>25529.999999999996</v>
      </c>
      <c r="J22" s="180">
        <f>$B22*'Hypothèses de recrutement'!M33</f>
        <v>25974</v>
      </c>
      <c r="K22" s="180">
        <f>$B22*'Hypothèses de recrutement'!N33</f>
        <v>26418</v>
      </c>
      <c r="L22" s="180">
        <f>$B22*'Hypothèses de recrutement'!O33</f>
        <v>26640</v>
      </c>
      <c r="M22" s="180">
        <f>$B22*'Hypothèses de recrutement'!P33</f>
        <v>26862</v>
      </c>
    </row>
    <row r="23" spans="2:13" ht="14.65" thickBot="1" x14ac:dyDescent="0.5">
      <c r="B23" s="198"/>
      <c r="C23" s="218" t="str">
        <f>IF('Hypothèses de recrutement'!F34=17%,'Hypothèses de recrutement'!C34,"")</f>
        <v/>
      </c>
      <c r="D23" s="204"/>
      <c r="E23" s="181"/>
      <c r="F23" s="181"/>
      <c r="G23" s="181"/>
      <c r="H23" s="182"/>
      <c r="I23" s="182"/>
      <c r="J23" s="182"/>
      <c r="K23" s="182"/>
      <c r="L23" s="182"/>
      <c r="M23" s="182"/>
    </row>
    <row r="24" spans="2:13" ht="14.65" thickBot="1" x14ac:dyDescent="0.5">
      <c r="B24" s="374" t="s">
        <v>185</v>
      </c>
      <c r="C24" s="375"/>
      <c r="D24" s="183">
        <f t="shared" ref="D24:M24" si="0">SUM(D4:D22)</f>
        <v>122080</v>
      </c>
      <c r="E24" s="183">
        <f t="shared" si="0"/>
        <v>261228.6</v>
      </c>
      <c r="F24" s="183">
        <f t="shared" si="0"/>
        <v>367131</v>
      </c>
      <c r="G24" s="183">
        <f t="shared" si="0"/>
        <v>464830.50000000006</v>
      </c>
      <c r="H24" s="184">
        <f t="shared" si="0"/>
        <v>539918.39999999991</v>
      </c>
      <c r="I24" s="184">
        <f t="shared" si="0"/>
        <v>609822</v>
      </c>
      <c r="J24" s="184">
        <f t="shared" si="0"/>
        <v>685011.6</v>
      </c>
      <c r="K24" s="184">
        <f t="shared" si="0"/>
        <v>725566.79999999993</v>
      </c>
      <c r="L24" s="184">
        <f t="shared" si="0"/>
        <v>764064</v>
      </c>
      <c r="M24" s="184">
        <f t="shared" si="0"/>
        <v>801467.70000000007</v>
      </c>
    </row>
    <row r="25" spans="2:13" x14ac:dyDescent="0.45">
      <c r="B25" s="210"/>
      <c r="C25" s="211" t="s">
        <v>186</v>
      </c>
      <c r="D25" s="208">
        <f t="shared" ref="D25:G25" si="1">17%*D24</f>
        <v>20753.600000000002</v>
      </c>
      <c r="E25" s="201">
        <f t="shared" si="1"/>
        <v>44408.862000000001</v>
      </c>
      <c r="F25" s="201">
        <f t="shared" si="1"/>
        <v>62412.270000000004</v>
      </c>
      <c r="G25" s="201">
        <f t="shared" si="1"/>
        <v>79021.185000000012</v>
      </c>
      <c r="H25" s="202">
        <f>40%*H24</f>
        <v>215967.35999999999</v>
      </c>
      <c r="I25" s="202">
        <f t="shared" ref="I25:M25" si="2">40%*I24</f>
        <v>243928.80000000002</v>
      </c>
      <c r="J25" s="202">
        <f t="shared" si="2"/>
        <v>274004.64</v>
      </c>
      <c r="K25" s="202">
        <f t="shared" si="2"/>
        <v>290226.71999999997</v>
      </c>
      <c r="L25" s="202">
        <f t="shared" si="2"/>
        <v>305625.60000000003</v>
      </c>
      <c r="M25" s="202">
        <f t="shared" si="2"/>
        <v>320587.08000000007</v>
      </c>
    </row>
    <row r="26" spans="2:13" x14ac:dyDescent="0.45">
      <c r="B26" s="212"/>
      <c r="C26" s="213" t="s">
        <v>187</v>
      </c>
      <c r="D26" s="192">
        <f t="shared" ref="D26:M26" si="3">D24*43%</f>
        <v>52494.400000000001</v>
      </c>
      <c r="E26" s="179">
        <f t="shared" si="3"/>
        <v>112328.298</v>
      </c>
      <c r="F26" s="179">
        <f t="shared" si="3"/>
        <v>157866.32999999999</v>
      </c>
      <c r="G26" s="179">
        <f t="shared" si="3"/>
        <v>199877.11500000002</v>
      </c>
      <c r="H26" s="180">
        <f t="shared" si="3"/>
        <v>232164.91199999995</v>
      </c>
      <c r="I26" s="180">
        <f t="shared" si="3"/>
        <v>262223.46000000002</v>
      </c>
      <c r="J26" s="180">
        <f t="shared" si="3"/>
        <v>294554.98800000001</v>
      </c>
      <c r="K26" s="180">
        <f t="shared" si="3"/>
        <v>311993.72399999999</v>
      </c>
      <c r="L26" s="180">
        <f t="shared" si="3"/>
        <v>328547.52</v>
      </c>
      <c r="M26" s="180">
        <f t="shared" si="3"/>
        <v>344631.11100000003</v>
      </c>
    </row>
    <row r="27" spans="2:13" x14ac:dyDescent="0.45">
      <c r="B27" s="376" t="s">
        <v>276</v>
      </c>
      <c r="C27" s="377"/>
      <c r="D27" s="199">
        <f t="shared" ref="D27:M27" si="4">D24+D25+D26</f>
        <v>195328</v>
      </c>
      <c r="E27" s="185">
        <f t="shared" si="4"/>
        <v>417965.76</v>
      </c>
      <c r="F27" s="185">
        <f t="shared" si="4"/>
        <v>587409.6</v>
      </c>
      <c r="G27" s="185">
        <f t="shared" si="4"/>
        <v>743728.8</v>
      </c>
      <c r="H27" s="186">
        <f t="shared" si="4"/>
        <v>988050.67199999979</v>
      </c>
      <c r="I27" s="186">
        <f t="shared" si="4"/>
        <v>1115974.26</v>
      </c>
      <c r="J27" s="186">
        <f t="shared" si="4"/>
        <v>1253571.2280000001</v>
      </c>
      <c r="K27" s="186">
        <f t="shared" si="4"/>
        <v>1327787.2439999999</v>
      </c>
      <c r="L27" s="186">
        <f t="shared" si="4"/>
        <v>1398237.12</v>
      </c>
      <c r="M27" s="186">
        <f t="shared" si="4"/>
        <v>1466685.8910000003</v>
      </c>
    </row>
    <row r="28" spans="2:13" ht="14.65" thickBot="1" x14ac:dyDescent="0.5">
      <c r="B28" s="214"/>
      <c r="C28" s="215" t="s">
        <v>188</v>
      </c>
      <c r="D28" s="209">
        <f>'Compte de résultat'!H15</f>
        <v>500000</v>
      </c>
      <c r="E28" s="209">
        <v>500000</v>
      </c>
      <c r="F28" s="209"/>
      <c r="G28" s="181"/>
      <c r="H28" s="182"/>
      <c r="I28" s="182"/>
      <c r="J28" s="182"/>
      <c r="K28" s="182"/>
      <c r="L28" s="182"/>
      <c r="M28" s="182"/>
    </row>
    <row r="29" spans="2:13" ht="14.65" thickBot="1" x14ac:dyDescent="0.5">
      <c r="B29" s="378" t="s">
        <v>189</v>
      </c>
      <c r="C29" s="379"/>
      <c r="D29" s="183">
        <f>D24+D25+D26-D28</f>
        <v>-304672</v>
      </c>
      <c r="E29" s="183">
        <f t="shared" ref="E29:M29" si="5">IF(D29&lt;0,E24+E25+E26-E28+D29,E24+E25+E26-E28)</f>
        <v>-386706.24</v>
      </c>
      <c r="F29" s="183">
        <f t="shared" si="5"/>
        <v>200703.35999999999</v>
      </c>
      <c r="G29" s="183">
        <f t="shared" si="5"/>
        <v>743728.8</v>
      </c>
      <c r="H29" s="184">
        <f t="shared" si="5"/>
        <v>988050.67199999979</v>
      </c>
      <c r="I29" s="184">
        <f t="shared" si="5"/>
        <v>1115974.26</v>
      </c>
      <c r="J29" s="184">
        <f t="shared" si="5"/>
        <v>1253571.2280000001</v>
      </c>
      <c r="K29" s="184">
        <f t="shared" si="5"/>
        <v>1327787.2439999999</v>
      </c>
      <c r="L29" s="184">
        <f t="shared" si="5"/>
        <v>1398237.12</v>
      </c>
      <c r="M29" s="184">
        <f t="shared" si="5"/>
        <v>1466685.8910000003</v>
      </c>
    </row>
    <row r="30" spans="2:13" ht="14.65" thickBot="1" x14ac:dyDescent="0.5">
      <c r="B30" s="216"/>
      <c r="C30" s="217"/>
      <c r="D30" s="206"/>
      <c r="E30" s="187"/>
      <c r="F30" s="187"/>
      <c r="G30" s="187"/>
      <c r="H30" s="188"/>
      <c r="I30" s="188"/>
      <c r="J30" s="188"/>
      <c r="K30" s="188"/>
      <c r="L30" s="188"/>
      <c r="M30" s="188"/>
    </row>
    <row r="31" spans="2:13" ht="14.65" thickBot="1" x14ac:dyDescent="0.5">
      <c r="B31" s="380" t="s">
        <v>190</v>
      </c>
      <c r="C31" s="381"/>
      <c r="D31" s="189">
        <f t="shared" ref="D31:M31" si="6">IF(D29&lt;0,0,D29*$B$1)</f>
        <v>0</v>
      </c>
      <c r="E31" s="189">
        <f t="shared" si="6"/>
        <v>0</v>
      </c>
      <c r="F31" s="189">
        <f t="shared" si="6"/>
        <v>60211.007999999994</v>
      </c>
      <c r="G31" s="189">
        <f t="shared" si="6"/>
        <v>223118.64</v>
      </c>
      <c r="H31" s="190">
        <f>IF(H29&lt;0,0,H29*$B$1)</f>
        <v>296415.20159999991</v>
      </c>
      <c r="I31" s="190">
        <f t="shared" si="6"/>
        <v>334792.27799999999</v>
      </c>
      <c r="J31" s="190">
        <f t="shared" si="6"/>
        <v>376071.36840000004</v>
      </c>
      <c r="K31" s="190">
        <f t="shared" si="6"/>
        <v>398336.17319999996</v>
      </c>
      <c r="L31" s="190">
        <f t="shared" si="6"/>
        <v>419471.136</v>
      </c>
      <c r="M31" s="190">
        <f t="shared" si="6"/>
        <v>440005.76730000007</v>
      </c>
    </row>
    <row r="32" spans="2:13" x14ac:dyDescent="0.45">
      <c r="C32" s="176" t="s">
        <v>277</v>
      </c>
      <c r="D32" s="84">
        <v>1</v>
      </c>
      <c r="E32" s="84">
        <v>0.6</v>
      </c>
      <c r="F32" s="84">
        <v>0.4</v>
      </c>
      <c r="G32" s="84">
        <v>0.3</v>
      </c>
      <c r="H32" s="84">
        <v>0.2</v>
      </c>
      <c r="I32" s="84">
        <v>0.2</v>
      </c>
      <c r="J32" s="84">
        <v>0.2</v>
      </c>
      <c r="K32" s="84">
        <v>0.2</v>
      </c>
      <c r="L32" s="84">
        <v>0.2</v>
      </c>
      <c r="M32" s="84">
        <v>0.2</v>
      </c>
    </row>
    <row r="33" spans="3:3" x14ac:dyDescent="0.45">
      <c r="C33" s="176" t="s">
        <v>278</v>
      </c>
    </row>
  </sheetData>
  <mergeCells count="4">
    <mergeCell ref="B24:C24"/>
    <mergeCell ref="B27:C27"/>
    <mergeCell ref="B29:C29"/>
    <mergeCell ref="B31:C31"/>
  </mergeCells>
  <phoneticPr fontId="2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26697-AA42-4A09-A10C-4ADFD035A770}">
  <dimension ref="B3:Q38"/>
  <sheetViews>
    <sheetView showGridLines="0" zoomScale="85" zoomScaleNormal="90" workbookViewId="0">
      <selection activeCell="A12" sqref="A12"/>
    </sheetView>
  </sheetViews>
  <sheetFormatPr baseColWidth="10" defaultRowHeight="14.25" x14ac:dyDescent="0.45"/>
  <cols>
    <col min="4" max="4" width="40.53125" bestFit="1" customWidth="1"/>
    <col min="5" max="6" width="13.33203125" bestFit="1" customWidth="1"/>
    <col min="7" max="9" width="14.46484375" bestFit="1" customWidth="1"/>
  </cols>
  <sheetData>
    <row r="3" spans="2:16" x14ac:dyDescent="0.45"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</row>
    <row r="4" spans="2:16" ht="14.65" thickBot="1" x14ac:dyDescent="0.5"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</row>
    <row r="5" spans="2:16" ht="14.65" thickBot="1" x14ac:dyDescent="0.5">
      <c r="B5" s="230"/>
      <c r="C5" s="230"/>
      <c r="D5" s="327" t="s">
        <v>64</v>
      </c>
      <c r="E5" s="233" t="s">
        <v>221</v>
      </c>
      <c r="F5" s="233" t="s">
        <v>222</v>
      </c>
      <c r="G5" s="233" t="s">
        <v>223</v>
      </c>
      <c r="H5" s="233" t="s">
        <v>224</v>
      </c>
      <c r="I5" s="233" t="s">
        <v>225</v>
      </c>
      <c r="J5" s="233" t="s">
        <v>253</v>
      </c>
      <c r="K5" s="233" t="s">
        <v>254</v>
      </c>
      <c r="L5" s="233" t="s">
        <v>255</v>
      </c>
      <c r="M5" s="233" t="s">
        <v>256</v>
      </c>
      <c r="N5" s="234" t="s">
        <v>257</v>
      </c>
      <c r="O5" s="230"/>
      <c r="P5" s="230"/>
    </row>
    <row r="6" spans="2:16" ht="14.65" thickBot="1" x14ac:dyDescent="0.5">
      <c r="B6" s="230"/>
      <c r="C6" s="230"/>
      <c r="D6" s="317" t="s">
        <v>206</v>
      </c>
      <c r="E6" s="318">
        <f>'Compte de résultat'!H119</f>
        <v>30070.767318247941</v>
      </c>
      <c r="F6" s="318">
        <f>'Compte de résultat'!I119</f>
        <v>-247638.10644386252</v>
      </c>
      <c r="G6" s="318">
        <f>'Compte de résultat'!J119</f>
        <v>-175600.50060944454</v>
      </c>
      <c r="H6" s="318">
        <f>'Compte de résultat'!K119</f>
        <v>387899.16967010638</v>
      </c>
      <c r="I6" s="318">
        <f>'Compte de résultat'!L119</f>
        <v>333760.65308917209</v>
      </c>
      <c r="J6" s="318">
        <f>'Compte de résultat'!M119</f>
        <v>573660.10785312462</v>
      </c>
      <c r="K6" s="318">
        <f>'Compte de résultat'!N119</f>
        <v>1077272.9418612146</v>
      </c>
      <c r="L6" s="318">
        <f>'Compte de résultat'!O119</f>
        <v>2232460.6650449364</v>
      </c>
      <c r="M6" s="318">
        <f>'Compte de résultat'!P119</f>
        <v>3959873.8632325102</v>
      </c>
      <c r="N6" s="323">
        <f>'Compte de résultat'!Q119</f>
        <v>4902517.2410451742</v>
      </c>
      <c r="O6" s="230"/>
      <c r="P6" s="230"/>
    </row>
    <row r="7" spans="2:16" x14ac:dyDescent="0.45">
      <c r="B7" s="230"/>
      <c r="C7" s="230"/>
      <c r="D7" s="235"/>
      <c r="E7" s="236"/>
      <c r="F7" s="236"/>
      <c r="G7" s="236"/>
      <c r="H7" s="236"/>
      <c r="I7" s="236"/>
      <c r="J7" s="236"/>
      <c r="K7" s="236"/>
      <c r="L7" s="236"/>
      <c r="M7" s="236"/>
      <c r="N7" s="237"/>
      <c r="O7" s="230"/>
      <c r="P7" s="230"/>
    </row>
    <row r="8" spans="2:16" x14ac:dyDescent="0.45">
      <c r="B8" s="230"/>
      <c r="C8" s="230"/>
      <c r="D8" s="238" t="s">
        <v>207</v>
      </c>
      <c r="E8" s="240">
        <f>'Compte de résultat'!H103</f>
        <v>160830.53333333335</v>
      </c>
      <c r="F8" s="240">
        <f>'Compte de résultat'!I103</f>
        <v>167497.76</v>
      </c>
      <c r="G8" s="240">
        <f>'Compte de résultat'!J103</f>
        <v>208800.4688</v>
      </c>
      <c r="H8" s="240">
        <f>'Compte de résultat'!K103</f>
        <v>277500.57704</v>
      </c>
      <c r="I8" s="240">
        <f>'Compte de résultat'!L103</f>
        <v>369977.65213199996</v>
      </c>
      <c r="J8" s="240">
        <f>'Compte de résultat'!M103</f>
        <v>498291.41277060006</v>
      </c>
      <c r="K8" s="240">
        <f>'Compte de résultat'!N103</f>
        <v>623962.18700112996</v>
      </c>
      <c r="L8" s="240">
        <f>'Compte de résultat'!O103</f>
        <v>747756.53113643453</v>
      </c>
      <c r="M8" s="240">
        <f>'Compte de résultat'!P103</f>
        <v>861303.46039133577</v>
      </c>
      <c r="N8" s="241">
        <f>'Compte de résultat'!Q103</f>
        <v>965749.24235392455</v>
      </c>
      <c r="O8" s="230"/>
      <c r="P8" s="230"/>
    </row>
    <row r="9" spans="2:16" x14ac:dyDescent="0.45">
      <c r="B9" s="230"/>
      <c r="C9" s="230"/>
      <c r="D9" s="238" t="s">
        <v>208</v>
      </c>
      <c r="E9" s="240">
        <f>'Compte de résultat'!H14</f>
        <v>0</v>
      </c>
      <c r="F9" s="240">
        <f>'Compte de résultat'!I14</f>
        <v>167186.304</v>
      </c>
      <c r="G9" s="240">
        <f>'Compte de résultat'!J14</f>
        <v>352445.75999999995</v>
      </c>
      <c r="H9" s="240">
        <f>'Compte de résultat'!K14</f>
        <v>520610.16</v>
      </c>
      <c r="I9" s="240">
        <f>'Compte de résultat'!L14</f>
        <v>790440.53759999992</v>
      </c>
      <c r="J9" s="240">
        <f>'Compte de résultat'!M14</f>
        <v>892779.40800000005</v>
      </c>
      <c r="K9" s="240">
        <f>'Compte de résultat'!N14</f>
        <v>1002856.9824000001</v>
      </c>
      <c r="L9" s="240">
        <f>'Compte de résultat'!O14</f>
        <v>1062229.7952000001</v>
      </c>
      <c r="M9" s="240">
        <f>'Compte de résultat'!P14</f>
        <v>1118589.6960000002</v>
      </c>
      <c r="N9" s="241">
        <f>'Compte de résultat'!Q14</f>
        <v>1173348.7128000003</v>
      </c>
      <c r="O9" s="230"/>
      <c r="P9" s="230"/>
    </row>
    <row r="10" spans="2:16" ht="14.65" thickBot="1" x14ac:dyDescent="0.5">
      <c r="B10" s="230"/>
      <c r="C10" s="230"/>
      <c r="D10" s="242"/>
      <c r="E10" s="243"/>
      <c r="F10" s="243"/>
      <c r="G10" s="243"/>
      <c r="H10" s="243"/>
      <c r="I10" s="243"/>
      <c r="J10" s="243"/>
      <c r="K10" s="243"/>
      <c r="L10" s="243"/>
      <c r="M10" s="243"/>
      <c r="N10" s="244"/>
      <c r="O10" s="230"/>
      <c r="P10" s="230"/>
    </row>
    <row r="11" spans="2:16" ht="14.65" thickBot="1" x14ac:dyDescent="0.5">
      <c r="B11" s="230"/>
      <c r="C11" s="230"/>
      <c r="D11" s="245" t="s">
        <v>209</v>
      </c>
      <c r="E11" s="319">
        <f t="shared" ref="E11:N11" si="0">E6+E8-E9</f>
        <v>190901.30065158129</v>
      </c>
      <c r="F11" s="319">
        <f t="shared" si="0"/>
        <v>-247326.65044386251</v>
      </c>
      <c r="G11" s="319">
        <f t="shared" si="0"/>
        <v>-319245.79180944449</v>
      </c>
      <c r="H11" s="319">
        <f t="shared" si="0"/>
        <v>144789.58671010641</v>
      </c>
      <c r="I11" s="319">
        <f t="shared" si="0"/>
        <v>-86702.232378827874</v>
      </c>
      <c r="J11" s="319">
        <f t="shared" si="0"/>
        <v>179172.11262372462</v>
      </c>
      <c r="K11" s="319">
        <f t="shared" si="0"/>
        <v>698378.14646234456</v>
      </c>
      <c r="L11" s="319">
        <f t="shared" si="0"/>
        <v>1917987.4009813708</v>
      </c>
      <c r="M11" s="319">
        <f t="shared" si="0"/>
        <v>3702587.6276238458</v>
      </c>
      <c r="N11" s="324">
        <f t="shared" si="0"/>
        <v>4694917.7705990989</v>
      </c>
      <c r="O11" s="230"/>
      <c r="P11" s="230"/>
    </row>
    <row r="12" spans="2:16" x14ac:dyDescent="0.45">
      <c r="B12" s="230"/>
      <c r="C12" s="230"/>
      <c r="D12" s="235"/>
      <c r="E12" s="247"/>
      <c r="F12" s="247"/>
      <c r="G12" s="247"/>
      <c r="H12" s="247"/>
      <c r="I12" s="247"/>
      <c r="J12" s="247"/>
      <c r="K12" s="247"/>
      <c r="L12" s="247"/>
      <c r="M12" s="247"/>
      <c r="N12" s="248"/>
      <c r="O12" s="230"/>
      <c r="P12" s="230"/>
    </row>
    <row r="13" spans="2:16" x14ac:dyDescent="0.45">
      <c r="B13" s="230"/>
      <c r="C13" s="230"/>
      <c r="D13" s="238" t="s">
        <v>210</v>
      </c>
      <c r="E13" s="239">
        <f>'Balance Sheet'!I74-'Balance Sheet'!H74</f>
        <v>-29564.012845985282</v>
      </c>
      <c r="F13" s="239">
        <f>'Balance Sheet'!J74-'Balance Sheet'!I74</f>
        <v>51464.954240820778</v>
      </c>
      <c r="G13" s="239">
        <f>'Balance Sheet'!K74-'Balance Sheet'!J74</f>
        <v>19650.925508837274</v>
      </c>
      <c r="H13" s="239">
        <f>'Balance Sheet'!L74-'Balance Sheet'!K74</f>
        <v>-18228.031219825265</v>
      </c>
      <c r="I13" s="239">
        <f>'Balance Sheet'!M74-'Balance Sheet'!L74</f>
        <v>64182.942559252086</v>
      </c>
      <c r="J13" s="239">
        <f>'Balance Sheet'!N74-'Balance Sheet'!M74</f>
        <v>-67823.020741536893</v>
      </c>
      <c r="K13" s="239">
        <f>'Balance Sheet'!O74-'Balance Sheet'!N74</f>
        <v>-167493.81878092382</v>
      </c>
      <c r="L13" s="239">
        <f>'Balance Sheet'!P74-'Balance Sheet'!O74</f>
        <v>-463356.34612700297</v>
      </c>
      <c r="M13" s="239">
        <f>'Balance Sheet'!Q74-'Balance Sheet'!P74</f>
        <v>-693162.587628501</v>
      </c>
      <c r="N13" s="259">
        <f>'Balance Sheet'!R74-'Balance Sheet'!Q74</f>
        <v>-371425.96389936982</v>
      </c>
      <c r="O13" s="230"/>
      <c r="P13" s="230"/>
    </row>
    <row r="14" spans="2:16" ht="14.65" thickBot="1" x14ac:dyDescent="0.5">
      <c r="B14" s="230"/>
      <c r="C14" s="230"/>
      <c r="D14" s="242"/>
      <c r="E14" s="251"/>
      <c r="F14" s="251"/>
      <c r="G14" s="251"/>
      <c r="H14" s="251"/>
      <c r="I14" s="251"/>
      <c r="J14" s="251"/>
      <c r="K14" s="251"/>
      <c r="L14" s="251"/>
      <c r="M14" s="251"/>
      <c r="N14" s="252"/>
      <c r="O14" s="230"/>
      <c r="P14" s="230"/>
    </row>
    <row r="15" spans="2:16" ht="14.65" thickBot="1" x14ac:dyDescent="0.5">
      <c r="B15" s="230"/>
      <c r="C15" s="230"/>
      <c r="D15" s="260" t="s">
        <v>211</v>
      </c>
      <c r="E15" s="320">
        <f t="shared" ref="E15:N15" si="1">E11-E13</f>
        <v>220465.31349756656</v>
      </c>
      <c r="F15" s="320">
        <f t="shared" si="1"/>
        <v>-298791.60468468326</v>
      </c>
      <c r="G15" s="320">
        <f t="shared" si="1"/>
        <v>-338896.71731828176</v>
      </c>
      <c r="H15" s="320">
        <f t="shared" si="1"/>
        <v>163017.61792993167</v>
      </c>
      <c r="I15" s="320">
        <f t="shared" si="1"/>
        <v>-150885.17493807996</v>
      </c>
      <c r="J15" s="320">
        <f t="shared" si="1"/>
        <v>246995.13336526151</v>
      </c>
      <c r="K15" s="320">
        <f t="shared" si="1"/>
        <v>865871.96524326841</v>
      </c>
      <c r="L15" s="320">
        <f t="shared" si="1"/>
        <v>2381343.7471083738</v>
      </c>
      <c r="M15" s="320">
        <f t="shared" si="1"/>
        <v>4395750.2152523473</v>
      </c>
      <c r="N15" s="325">
        <f t="shared" si="1"/>
        <v>5066343.7344984692</v>
      </c>
      <c r="O15" s="230"/>
      <c r="P15" s="230"/>
    </row>
    <row r="16" spans="2:16" x14ac:dyDescent="0.45">
      <c r="B16" s="230"/>
      <c r="C16" s="230"/>
      <c r="D16" s="235"/>
      <c r="E16" s="247"/>
      <c r="F16" s="247"/>
      <c r="G16" s="247"/>
      <c r="H16" s="247"/>
      <c r="I16" s="247"/>
      <c r="J16" s="247"/>
      <c r="K16" s="247"/>
      <c r="L16" s="247"/>
      <c r="M16" s="247"/>
      <c r="N16" s="248"/>
      <c r="O16" s="230"/>
      <c r="P16" s="230"/>
    </row>
    <row r="17" spans="2:17" x14ac:dyDescent="0.45">
      <c r="B17" s="230"/>
      <c r="C17" s="230"/>
      <c r="D17" s="238" t="s">
        <v>230</v>
      </c>
      <c r="E17" s="240">
        <f>'Balance Sheet'!I8-'Balance Sheet'!H8+'Balance Sheet'!I9-'Balance Sheet'!H9+'Balance Sheet'!I10-'Balance Sheet'!H10</f>
        <v>400000</v>
      </c>
      <c r="F17" s="240">
        <f>'Balance Sheet'!J8-'Balance Sheet'!I8+'Balance Sheet'!J9-'Balance Sheet'!I9+'Balance Sheet'!J10-'Balance Sheet'!I10</f>
        <v>18500</v>
      </c>
      <c r="G17" s="240">
        <f>'Balance Sheet'!K8-'Balance Sheet'!J8+'Balance Sheet'!K9-'Balance Sheet'!J9+'Balance Sheet'!K10-'Balance Sheet'!J10</f>
        <v>19395</v>
      </c>
      <c r="H17" s="240">
        <f>'Balance Sheet'!L8-'Balance Sheet'!K8+'Balance Sheet'!L9-'Balance Sheet'!K9+'Balance Sheet'!L10-'Balance Sheet'!K10</f>
        <v>20334.150000000052</v>
      </c>
      <c r="I17" s="240">
        <f>'Balance Sheet'!M8-'Balance Sheet'!L8+'Balance Sheet'!M9-'Balance Sheet'!L9+'Balance Sheet'!M10-'Balance Sheet'!L10</f>
        <v>21319.645499999955</v>
      </c>
      <c r="J17" s="240">
        <f>'Balance Sheet'!N8-'Balance Sheet'!M8+'Balance Sheet'!N9-'Balance Sheet'!M9+'Balance Sheet'!N10-'Balance Sheet'!M10</f>
        <v>22353.791535000055</v>
      </c>
      <c r="K17" s="240">
        <f>'Balance Sheet'!O8-'Balance Sheet'!N8+'Balance Sheet'!O9-'Balance Sheet'!N9+'Balance Sheet'!O10-'Balance Sheet'!N10</f>
        <v>23439.008146949956</v>
      </c>
      <c r="L17" s="240">
        <f>'Balance Sheet'!P8-'Balance Sheet'!O8+'Balance Sheet'!P9-'Balance Sheet'!O9+'Balance Sheet'!P10-'Balance Sheet'!O10</f>
        <v>24577.836130201584</v>
      </c>
      <c r="M17" s="240">
        <f>'Balance Sheet'!Q8-'Balance Sheet'!P8+'Balance Sheet'!Q9-'Balance Sheet'!P9+'Balance Sheet'!Q10-'Balance Sheet'!P10</f>
        <v>25772.943064133549</v>
      </c>
      <c r="N17" s="241">
        <f>'Balance Sheet'!R8-'Balance Sheet'!Q8+'Balance Sheet'!R9-'Balance Sheet'!Q9+'Balance Sheet'!R10-'Balance Sheet'!Q10</f>
        <v>27027.129647310881</v>
      </c>
      <c r="O17" s="230"/>
      <c r="P17" s="230"/>
    </row>
    <row r="18" spans="2:17" x14ac:dyDescent="0.45">
      <c r="B18" s="230"/>
      <c r="C18" s="230"/>
      <c r="D18" s="238" t="s">
        <v>227</v>
      </c>
      <c r="E18" s="240">
        <f>'Compte de résultat'!H100</f>
        <v>133333.33333333334</v>
      </c>
      <c r="F18" s="240">
        <f>'Compte de résultat'!I100</f>
        <v>139500</v>
      </c>
      <c r="G18" s="240">
        <f>'Compte de résultat'!J100</f>
        <v>145965</v>
      </c>
      <c r="H18" s="240">
        <f>'Compte de résultat'!K100</f>
        <v>152743.05000000002</v>
      </c>
      <c r="I18" s="240">
        <f>'Compte de résultat'!L100</f>
        <v>159849.59849999999</v>
      </c>
      <c r="J18" s="240">
        <f>'Compte de résultat'!M100</f>
        <v>167300.86234500003</v>
      </c>
      <c r="K18" s="240">
        <f>'Compte de résultat'!N100</f>
        <v>175113.86506065002</v>
      </c>
      <c r="L18" s="240">
        <f>'Compte de résultat'!O100</f>
        <v>183306.47710405051</v>
      </c>
      <c r="M18" s="240">
        <f>'Compte de résultat'!P100</f>
        <v>191897.45812542838</v>
      </c>
      <c r="N18" s="241">
        <f>'Compte de résultat'!Q100</f>
        <v>200906.50134119869</v>
      </c>
      <c r="O18" s="230"/>
      <c r="P18" s="230"/>
    </row>
    <row r="19" spans="2:17" x14ac:dyDescent="0.45">
      <c r="B19" s="230"/>
      <c r="C19" s="230"/>
      <c r="D19" s="238" t="s">
        <v>228</v>
      </c>
      <c r="E19" s="240">
        <f>'Balance Sheet'!I12-'Balance Sheet'!H12</f>
        <v>25000</v>
      </c>
      <c r="F19" s="240">
        <f>'Balance Sheet'!J12-'Balance Sheet'!I12</f>
        <v>25000</v>
      </c>
      <c r="G19" s="240">
        <f>'Balance Sheet'!K12-'Balance Sheet'!J12</f>
        <v>25000</v>
      </c>
      <c r="H19" s="240">
        <f>'Balance Sheet'!L12-'Balance Sheet'!K12</f>
        <v>5000</v>
      </c>
      <c r="I19" s="240">
        <f>'Balance Sheet'!M12-'Balance Sheet'!L12</f>
        <v>15000</v>
      </c>
      <c r="J19" s="240">
        <f>'Balance Sheet'!N12-'Balance Sheet'!M12</f>
        <v>5000</v>
      </c>
      <c r="K19" s="240">
        <f>'Balance Sheet'!O12-'Balance Sheet'!N12</f>
        <v>7500</v>
      </c>
      <c r="L19" s="240">
        <f>'Balance Sheet'!P12-'Balance Sheet'!O12</f>
        <v>2500</v>
      </c>
      <c r="M19" s="240">
        <f>'Balance Sheet'!Q12-'Balance Sheet'!P12</f>
        <v>5000</v>
      </c>
      <c r="N19" s="241">
        <f>'Balance Sheet'!R12-'Balance Sheet'!Q12</f>
        <v>5000</v>
      </c>
      <c r="O19" s="230"/>
      <c r="P19" s="230"/>
      <c r="Q19" s="230"/>
    </row>
    <row r="20" spans="2:17" x14ac:dyDescent="0.45">
      <c r="B20" s="230"/>
      <c r="C20" s="230"/>
      <c r="D20" s="242" t="s">
        <v>226</v>
      </c>
      <c r="E20" s="243">
        <f>'Compte de résultat'!H101</f>
        <v>5000</v>
      </c>
      <c r="F20" s="243">
        <f>'Compte de résultat'!I101</f>
        <v>10000</v>
      </c>
      <c r="G20" s="243">
        <f>'Compte de résultat'!J101</f>
        <v>15000</v>
      </c>
      <c r="H20" s="243">
        <f>'Compte de résultat'!K101</f>
        <v>16000</v>
      </c>
      <c r="I20" s="243">
        <f>'Compte de résultat'!L101</f>
        <v>19000</v>
      </c>
      <c r="J20" s="243">
        <f>'Compte de résultat'!M101</f>
        <v>20000</v>
      </c>
      <c r="K20" s="243">
        <f>'Compte de résultat'!N101</f>
        <v>21500</v>
      </c>
      <c r="L20" s="243">
        <f>'Compte de résultat'!O101</f>
        <v>22000</v>
      </c>
      <c r="M20" s="243">
        <f>'Compte de résultat'!P101</f>
        <v>23000</v>
      </c>
      <c r="N20" s="244">
        <f>'Compte de résultat'!Q101</f>
        <v>24000</v>
      </c>
      <c r="O20" s="230"/>
      <c r="P20" s="230"/>
      <c r="Q20" s="230"/>
    </row>
    <row r="21" spans="2:17" x14ac:dyDescent="0.45">
      <c r="B21" s="230"/>
      <c r="C21" s="230"/>
      <c r="D21" s="242" t="s">
        <v>229</v>
      </c>
      <c r="E21" s="243">
        <f>'Balance Sheet'!I16-'Balance Sheet'!H16</f>
        <v>7500</v>
      </c>
      <c r="F21" s="243">
        <f>'Balance Sheet'!J16-'Balance Sheet'!I16</f>
        <v>3000</v>
      </c>
      <c r="G21" s="243">
        <f>'Balance Sheet'!K16-'Balance Sheet'!J16</f>
        <v>4500</v>
      </c>
      <c r="H21" s="243">
        <f>'Balance Sheet'!L16-'Balance Sheet'!K16</f>
        <v>0</v>
      </c>
      <c r="I21" s="243">
        <f>'Balance Sheet'!M16-'Balance Sheet'!L16</f>
        <v>0</v>
      </c>
      <c r="J21" s="243">
        <f>'Balance Sheet'!N16-'Balance Sheet'!M16</f>
        <v>0</v>
      </c>
      <c r="K21" s="243">
        <f>'Balance Sheet'!O16-'Balance Sheet'!N16</f>
        <v>0</v>
      </c>
      <c r="L21" s="243">
        <f>'Balance Sheet'!P16-'Balance Sheet'!O16</f>
        <v>0</v>
      </c>
      <c r="M21" s="243">
        <f>'Balance Sheet'!Q16-'Balance Sheet'!P16</f>
        <v>0</v>
      </c>
      <c r="N21" s="244">
        <f>'Balance Sheet'!R16-'Balance Sheet'!Q16</f>
        <v>0</v>
      </c>
      <c r="O21" s="230"/>
      <c r="P21" s="230"/>
      <c r="Q21" s="230"/>
    </row>
    <row r="22" spans="2:17" ht="14.65" thickBot="1" x14ac:dyDescent="0.5">
      <c r="B22" s="230"/>
      <c r="C22" s="230"/>
      <c r="D22" s="242"/>
      <c r="E22" s="251"/>
      <c r="F22" s="251"/>
      <c r="G22" s="251"/>
      <c r="H22" s="251"/>
      <c r="I22" s="251"/>
      <c r="J22" s="251"/>
      <c r="K22" s="251"/>
      <c r="L22" s="251"/>
      <c r="M22" s="251"/>
      <c r="N22" s="252"/>
      <c r="O22" s="230"/>
      <c r="P22" s="230"/>
    </row>
    <row r="23" spans="2:17" ht="14.65" thickBot="1" x14ac:dyDescent="0.5">
      <c r="B23" s="230"/>
      <c r="C23" s="230"/>
      <c r="D23" s="245" t="s">
        <v>212</v>
      </c>
      <c r="E23" s="319">
        <f>-SUM(E17:E21)</f>
        <v>-570833.33333333337</v>
      </c>
      <c r="F23" s="319">
        <f t="shared" ref="F23:N23" si="2">-SUM(F17:F21)</f>
        <v>-196000</v>
      </c>
      <c r="G23" s="319">
        <f t="shared" si="2"/>
        <v>-209860</v>
      </c>
      <c r="H23" s="319">
        <f t="shared" si="2"/>
        <v>-194077.20000000007</v>
      </c>
      <c r="I23" s="319">
        <f t="shared" si="2"/>
        <v>-215169.24399999995</v>
      </c>
      <c r="J23" s="319">
        <f t="shared" si="2"/>
        <v>-214654.65388000009</v>
      </c>
      <c r="K23" s="319">
        <f t="shared" si="2"/>
        <v>-227552.87320759997</v>
      </c>
      <c r="L23" s="319">
        <f t="shared" si="2"/>
        <v>-232384.3132342521</v>
      </c>
      <c r="M23" s="319">
        <f t="shared" si="2"/>
        <v>-245670.40118956193</v>
      </c>
      <c r="N23" s="324">
        <f t="shared" si="2"/>
        <v>-256933.63098850957</v>
      </c>
      <c r="O23" s="230"/>
      <c r="P23" s="230"/>
    </row>
    <row r="24" spans="2:17" ht="14.65" thickBot="1" x14ac:dyDescent="0.5">
      <c r="B24" s="230"/>
      <c r="C24" s="230"/>
      <c r="D24" s="242"/>
      <c r="E24" s="243"/>
      <c r="F24" s="243"/>
      <c r="G24" s="243"/>
      <c r="H24" s="243"/>
      <c r="I24" s="243"/>
      <c r="J24" s="243"/>
      <c r="K24" s="243"/>
      <c r="L24" s="243"/>
      <c r="M24" s="243"/>
      <c r="N24" s="244"/>
      <c r="O24" s="230"/>
      <c r="P24" s="230"/>
    </row>
    <row r="25" spans="2:17" ht="14.65" thickBot="1" x14ac:dyDescent="0.5">
      <c r="B25" s="230"/>
      <c r="C25" s="230"/>
      <c r="D25" s="260" t="s">
        <v>213</v>
      </c>
      <c r="E25" s="320">
        <f t="shared" ref="E25:N25" si="3">E15+E23</f>
        <v>-350368.01983576681</v>
      </c>
      <c r="F25" s="320">
        <f t="shared" si="3"/>
        <v>-494791.60468468326</v>
      </c>
      <c r="G25" s="320">
        <f t="shared" si="3"/>
        <v>-548756.71731828176</v>
      </c>
      <c r="H25" s="320">
        <f t="shared" si="3"/>
        <v>-31059.582070068398</v>
      </c>
      <c r="I25" s="320">
        <f t="shared" si="3"/>
        <v>-366054.41893807991</v>
      </c>
      <c r="J25" s="320">
        <f t="shared" si="3"/>
        <v>32340.479485261429</v>
      </c>
      <c r="K25" s="320">
        <f t="shared" si="3"/>
        <v>638319.09203566844</v>
      </c>
      <c r="L25" s="320">
        <f t="shared" si="3"/>
        <v>2148959.4338741219</v>
      </c>
      <c r="M25" s="320">
        <f t="shared" si="3"/>
        <v>4150079.8140627854</v>
      </c>
      <c r="N25" s="325">
        <f t="shared" si="3"/>
        <v>4809410.1035099598</v>
      </c>
      <c r="O25" s="230"/>
      <c r="P25" s="230"/>
    </row>
    <row r="26" spans="2:17" x14ac:dyDescent="0.45">
      <c r="B26" s="230"/>
      <c r="C26" s="230"/>
      <c r="D26" s="235"/>
      <c r="E26" s="246"/>
      <c r="F26" s="247"/>
      <c r="G26" s="247"/>
      <c r="H26" s="247"/>
      <c r="I26" s="247"/>
      <c r="J26" s="247"/>
      <c r="K26" s="247"/>
      <c r="L26" s="247"/>
      <c r="M26" s="247"/>
      <c r="N26" s="248"/>
      <c r="O26" s="230"/>
      <c r="P26" s="230"/>
    </row>
    <row r="27" spans="2:17" x14ac:dyDescent="0.45">
      <c r="B27" s="230"/>
      <c r="C27" s="230"/>
      <c r="D27" s="238" t="s">
        <v>214</v>
      </c>
      <c r="E27" s="249">
        <f>'Hypothèses de financement'!E5</f>
        <v>1500000</v>
      </c>
      <c r="F27" s="240"/>
      <c r="G27" s="240"/>
      <c r="H27" s="240"/>
      <c r="I27" s="240"/>
      <c r="J27" s="240"/>
      <c r="K27" s="240"/>
      <c r="L27" s="240"/>
      <c r="M27" s="240"/>
      <c r="N27" s="241"/>
      <c r="O27" s="230"/>
      <c r="P27" s="230"/>
    </row>
    <row r="28" spans="2:17" x14ac:dyDescent="0.45">
      <c r="B28" s="230"/>
      <c r="C28" s="230"/>
      <c r="D28" s="238" t="s">
        <v>215</v>
      </c>
      <c r="E28" s="249">
        <f>'Balance Sheet'!I59+'Balance Sheet'!I61-'Balance Sheet'!H59-'Balance Sheet'!H61</f>
        <v>425794.38052485028</v>
      </c>
      <c r="F28" s="239">
        <f>'Balance Sheet'!J59+'Balance Sheet'!J61-'Balance Sheet'!I59-'Balance Sheet'!I61</f>
        <v>400625.4049241427</v>
      </c>
      <c r="G28" s="239">
        <f>'Balance Sheet'!K59+'Balance Sheet'!K61-'Balance Sheet'!J59-'Balance Sheet'!J61</f>
        <v>-99872.608301437809</v>
      </c>
      <c r="H28" s="239">
        <f>'Balance Sheet'!L59+'Balance Sheet'!L61-'Balance Sheet'!K59-'Balance Sheet'!K61</f>
        <v>-200173.22569861478</v>
      </c>
      <c r="I28" s="239">
        <f>'Balance Sheet'!M59+'Balance Sheet'!M61-'Balance Sheet'!L59-'Balance Sheet'!L61</f>
        <v>-200776.08885547565</v>
      </c>
      <c r="J28" s="239">
        <f>'Balance Sheet'!N59+'Balance Sheet'!N61-'Balance Sheet'!M59-'Balance Sheet'!M61</f>
        <v>-125297.82524695349</v>
      </c>
      <c r="K28" s="239">
        <f>'Balance Sheet'!O59+'Balance Sheet'!O61-'Balance Sheet'!N59-'Balance Sheet'!N61</f>
        <v>-100099.94575443408</v>
      </c>
      <c r="L28" s="239">
        <f>'Balance Sheet'!P59+'Balance Sheet'!P61-'Balance Sheet'!O59-'Balance Sheet'!O61</f>
        <v>-100200.09159207693</v>
      </c>
      <c r="M28" s="239">
        <f>'Balance Sheet'!Q59+'Balance Sheet'!Q61-'Balance Sheet'!P59-'Balance Sheet'!P61</f>
        <v>-2.1282176021486521E-10</v>
      </c>
      <c r="N28" s="259">
        <f>'Balance Sheet'!R59+'Balance Sheet'!R61-'Balance Sheet'!Q59-'Balance Sheet'!Q61</f>
        <v>0</v>
      </c>
      <c r="O28" s="230"/>
      <c r="P28" s="230"/>
    </row>
    <row r="29" spans="2:17" x14ac:dyDescent="0.45">
      <c r="B29" s="230"/>
      <c r="C29" s="230"/>
      <c r="D29" s="238"/>
      <c r="E29" s="249"/>
      <c r="F29" s="240"/>
      <c r="G29" s="240"/>
      <c r="H29" s="240"/>
      <c r="I29" s="240"/>
      <c r="J29" s="240"/>
      <c r="K29" s="240"/>
      <c r="L29" s="240"/>
      <c r="M29" s="240"/>
      <c r="N29" s="241"/>
      <c r="O29" s="230"/>
      <c r="P29" s="230"/>
    </row>
    <row r="30" spans="2:17" ht="14.65" thickBot="1" x14ac:dyDescent="0.5">
      <c r="B30" s="230"/>
      <c r="C30" s="230"/>
      <c r="D30" s="242"/>
      <c r="E30" s="250"/>
      <c r="F30" s="251"/>
      <c r="G30" s="251"/>
      <c r="H30" s="251"/>
      <c r="I30" s="251"/>
      <c r="J30" s="251"/>
      <c r="K30" s="251"/>
      <c r="L30" s="251"/>
      <c r="M30" s="251"/>
      <c r="N30" s="252"/>
      <c r="O30" s="230"/>
      <c r="P30" s="230"/>
    </row>
    <row r="31" spans="2:17" ht="14.65" thickBot="1" x14ac:dyDescent="0.5">
      <c r="B31" s="230"/>
      <c r="C31" s="230"/>
      <c r="D31" s="245" t="s">
        <v>216</v>
      </c>
      <c r="E31" s="319">
        <f t="shared" ref="E31:N31" si="4">E27+E28</f>
        <v>1925794.3805248502</v>
      </c>
      <c r="F31" s="319">
        <f t="shared" si="4"/>
        <v>400625.4049241427</v>
      </c>
      <c r="G31" s="319">
        <f t="shared" si="4"/>
        <v>-99872.608301437809</v>
      </c>
      <c r="H31" s="319">
        <f t="shared" si="4"/>
        <v>-200173.22569861478</v>
      </c>
      <c r="I31" s="319">
        <f t="shared" si="4"/>
        <v>-200776.08885547565</v>
      </c>
      <c r="J31" s="319">
        <f t="shared" si="4"/>
        <v>-125297.82524695349</v>
      </c>
      <c r="K31" s="319">
        <f t="shared" si="4"/>
        <v>-100099.94575443408</v>
      </c>
      <c r="L31" s="319">
        <f t="shared" si="4"/>
        <v>-100200.09159207693</v>
      </c>
      <c r="M31" s="319">
        <f t="shared" si="4"/>
        <v>-2.1282176021486521E-10</v>
      </c>
      <c r="N31" s="324">
        <f t="shared" si="4"/>
        <v>0</v>
      </c>
      <c r="O31" s="230"/>
      <c r="P31" s="230"/>
    </row>
    <row r="32" spans="2:17" ht="14.65" thickBot="1" x14ac:dyDescent="0.5">
      <c r="B32" s="230"/>
      <c r="C32" s="230"/>
      <c r="D32" s="253"/>
      <c r="E32" s="254"/>
      <c r="F32" s="254"/>
      <c r="G32" s="254"/>
      <c r="H32" s="254"/>
      <c r="I32" s="254"/>
      <c r="J32" s="254"/>
      <c r="K32" s="254"/>
      <c r="L32" s="254"/>
      <c r="M32" s="254"/>
      <c r="N32" s="255"/>
      <c r="O32" s="230"/>
      <c r="P32" s="230"/>
    </row>
    <row r="33" spans="2:16" ht="14.65" thickBot="1" x14ac:dyDescent="0.5">
      <c r="B33" s="230"/>
      <c r="C33" s="230"/>
      <c r="D33" s="256" t="s">
        <v>217</v>
      </c>
      <c r="E33" s="321">
        <f t="shared" ref="E33:N33" si="5">E25+E31</f>
        <v>1575426.3606890833</v>
      </c>
      <c r="F33" s="321">
        <f t="shared" si="5"/>
        <v>-94166.199760540563</v>
      </c>
      <c r="G33" s="321">
        <f t="shared" si="5"/>
        <v>-648629.32561971957</v>
      </c>
      <c r="H33" s="321">
        <f t="shared" si="5"/>
        <v>-231232.80776868318</v>
      </c>
      <c r="I33" s="321">
        <f t="shared" si="5"/>
        <v>-566830.5077935555</v>
      </c>
      <c r="J33" s="321">
        <f t="shared" si="5"/>
        <v>-92957.345761692064</v>
      </c>
      <c r="K33" s="321">
        <f t="shared" si="5"/>
        <v>538219.14628123434</v>
      </c>
      <c r="L33" s="321">
        <f t="shared" si="5"/>
        <v>2048759.3422820449</v>
      </c>
      <c r="M33" s="321">
        <f t="shared" si="5"/>
        <v>4150079.8140627854</v>
      </c>
      <c r="N33" s="257">
        <f t="shared" si="5"/>
        <v>4809410.1035099598</v>
      </c>
      <c r="O33" s="230"/>
      <c r="P33" s="230"/>
    </row>
    <row r="34" spans="2:16" x14ac:dyDescent="0.45">
      <c r="B34" s="230"/>
      <c r="C34" s="230"/>
      <c r="D34" s="235"/>
      <c r="E34" s="236"/>
      <c r="F34" s="236"/>
      <c r="G34" s="236"/>
      <c r="H34" s="236"/>
      <c r="I34" s="236"/>
      <c r="J34" s="236"/>
      <c r="K34" s="236"/>
      <c r="L34" s="236"/>
      <c r="M34" s="236"/>
      <c r="N34" s="237"/>
      <c r="O34" s="230"/>
      <c r="P34" s="230"/>
    </row>
    <row r="35" spans="2:16" x14ac:dyDescent="0.45">
      <c r="B35" s="230"/>
      <c r="C35" s="230"/>
      <c r="D35" s="238" t="s">
        <v>218</v>
      </c>
      <c r="E35" s="240">
        <f>'Balance Sheet'!H29</f>
        <v>24805.9</v>
      </c>
      <c r="F35" s="240">
        <f t="shared" ref="F35:N35" si="6">E37</f>
        <v>1600232.2606890833</v>
      </c>
      <c r="G35" s="240">
        <f t="shared" si="6"/>
        <v>1506066.0609285426</v>
      </c>
      <c r="H35" s="240">
        <f t="shared" si="6"/>
        <v>857436.73530882306</v>
      </c>
      <c r="I35" s="240">
        <f t="shared" si="6"/>
        <v>626203.92754013988</v>
      </c>
      <c r="J35" s="240">
        <f t="shared" si="6"/>
        <v>59373.419746584375</v>
      </c>
      <c r="K35" s="240">
        <f t="shared" si="6"/>
        <v>-33583.926015107689</v>
      </c>
      <c r="L35" s="240">
        <f t="shared" si="6"/>
        <v>504635.22026612668</v>
      </c>
      <c r="M35" s="240">
        <f t="shared" si="6"/>
        <v>2553394.5625481717</v>
      </c>
      <c r="N35" s="241">
        <f t="shared" si="6"/>
        <v>6703474.3766109571</v>
      </c>
      <c r="O35" s="230"/>
      <c r="P35" s="230"/>
    </row>
    <row r="36" spans="2:16" ht="14.65" thickBot="1" x14ac:dyDescent="0.5">
      <c r="B36" s="230"/>
      <c r="C36" s="230"/>
      <c r="D36" s="242" t="s">
        <v>219</v>
      </c>
      <c r="E36" s="243">
        <f t="shared" ref="E36:N36" si="7">E33</f>
        <v>1575426.3606890833</v>
      </c>
      <c r="F36" s="243">
        <f t="shared" si="7"/>
        <v>-94166.199760540563</v>
      </c>
      <c r="G36" s="243">
        <f t="shared" si="7"/>
        <v>-648629.32561971957</v>
      </c>
      <c r="H36" s="243">
        <f t="shared" si="7"/>
        <v>-231232.80776868318</v>
      </c>
      <c r="I36" s="243">
        <f t="shared" si="7"/>
        <v>-566830.5077935555</v>
      </c>
      <c r="J36" s="243">
        <f t="shared" si="7"/>
        <v>-92957.345761692064</v>
      </c>
      <c r="K36" s="243">
        <f t="shared" si="7"/>
        <v>538219.14628123434</v>
      </c>
      <c r="L36" s="243">
        <f t="shared" si="7"/>
        <v>2048759.3422820449</v>
      </c>
      <c r="M36" s="243">
        <f t="shared" si="7"/>
        <v>4150079.8140627854</v>
      </c>
      <c r="N36" s="244">
        <f t="shared" si="7"/>
        <v>4809410.1035099598</v>
      </c>
      <c r="O36" s="230"/>
      <c r="P36" s="230"/>
    </row>
    <row r="37" spans="2:16" ht="14.65" thickBot="1" x14ac:dyDescent="0.5">
      <c r="B37" s="230"/>
      <c r="C37" s="230"/>
      <c r="D37" s="258" t="s">
        <v>220</v>
      </c>
      <c r="E37" s="322">
        <f t="shared" ref="E37:N37" si="8">E35+E36</f>
        <v>1600232.2606890833</v>
      </c>
      <c r="F37" s="322">
        <f t="shared" si="8"/>
        <v>1506066.0609285426</v>
      </c>
      <c r="G37" s="322">
        <f t="shared" si="8"/>
        <v>857436.73530882306</v>
      </c>
      <c r="H37" s="322">
        <f t="shared" si="8"/>
        <v>626203.92754013988</v>
      </c>
      <c r="I37" s="322">
        <f t="shared" si="8"/>
        <v>59373.419746584375</v>
      </c>
      <c r="J37" s="322">
        <f t="shared" si="8"/>
        <v>-33583.926015107689</v>
      </c>
      <c r="K37" s="322">
        <f t="shared" si="8"/>
        <v>504635.22026612668</v>
      </c>
      <c r="L37" s="322">
        <f t="shared" si="8"/>
        <v>2553394.5625481717</v>
      </c>
      <c r="M37" s="322">
        <f t="shared" si="8"/>
        <v>6703474.3766109571</v>
      </c>
      <c r="N37" s="326">
        <f t="shared" si="8"/>
        <v>11512884.480120916</v>
      </c>
      <c r="O37" s="230"/>
      <c r="P37" s="230"/>
    </row>
    <row r="38" spans="2:16" x14ac:dyDescent="0.45"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</row>
  </sheetData>
  <phoneticPr fontId="26" type="noConversion"/>
  <conditionalFormatting sqref="E6:N37">
    <cfRule type="cellIs" dxfId="1" priority="1" operator="lessThan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Hypothèses de recrutement</vt:lpstr>
      <vt:lpstr>Hypothèses de coûts</vt:lpstr>
      <vt:lpstr>Hypothèses de revenus</vt:lpstr>
      <vt:lpstr>Hypothèses de financement</vt:lpstr>
      <vt:lpstr>Hypothèses de CAPEX</vt:lpstr>
      <vt:lpstr>Compte de résultat</vt:lpstr>
      <vt:lpstr>Balance Sheet</vt:lpstr>
      <vt:lpstr>Calcul du CIR</vt:lpstr>
      <vt:lpstr>Flux de trésorerie (p)</vt:lpstr>
      <vt:lpstr>DCF model</vt:lpstr>
      <vt:lpstr>Amortissement dettes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 Serradeill</dc:creator>
  <cp:lastModifiedBy>mati</cp:lastModifiedBy>
  <dcterms:created xsi:type="dcterms:W3CDTF">2015-06-05T18:19:34Z</dcterms:created>
  <dcterms:modified xsi:type="dcterms:W3CDTF">2021-02-11T15:45:04Z</dcterms:modified>
</cp:coreProperties>
</file>