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ti\Desktop\Talas Partners\Clients\XValuator\BP Xvaluator\Doc ref\"/>
    </mc:Choice>
  </mc:AlternateContent>
  <xr:revisionPtr revIDLastSave="0" documentId="13_ncr:1_{9C5184D2-D2F4-4A17-B041-1E2E165E21CC}" xr6:coauthVersionLast="47" xr6:coauthVersionMax="47" xr10:uidLastSave="{00000000-0000-0000-0000-000000000000}"/>
  <bookViews>
    <workbookView xWindow="-28920" yWindow="4230" windowWidth="29040" windowHeight="16440" firstSheet="2" activeTab="2" xr2:uid="{00000000-000D-0000-FFFF-FFFF00000000}"/>
  </bookViews>
  <sheets>
    <sheet name="Hypothèses de recrutement" sheetId="1" r:id="rId1"/>
    <sheet name="Hypothèses de coûts" sheetId="3" r:id="rId2"/>
    <sheet name="Hypothèses de revenus" sheetId="4" r:id="rId3"/>
    <sheet name="Hypothèses de financement" sheetId="8" r:id="rId4"/>
    <sheet name="Hypothèses de CAPEX" sheetId="6" r:id="rId5"/>
    <sheet name="Compte de résultat" sheetId="2" r:id="rId6"/>
    <sheet name="Balance Sheet" sheetId="5" r:id="rId7"/>
    <sheet name="Calcul du CIR" sheetId="7" r:id="rId8"/>
    <sheet name="Flux de trésorerie (p)" sheetId="9" r:id="rId9"/>
    <sheet name="DCF model" sheetId="10" r:id="rId10"/>
    <sheet name="Amortissement dettes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9" i="2" l="1"/>
  <c r="E21" i="4"/>
  <c r="F14" i="4"/>
  <c r="G14" i="4"/>
  <c r="H14" i="4"/>
  <c r="E14" i="4"/>
  <c r="G13" i="4"/>
  <c r="H13" i="4" s="1"/>
  <c r="F13" i="4"/>
  <c r="F12" i="4"/>
  <c r="G12" i="4"/>
  <c r="H12" i="4"/>
  <c r="I12" i="4"/>
  <c r="J12" i="4"/>
  <c r="K12" i="4"/>
  <c r="L12" i="4"/>
  <c r="E12" i="4"/>
  <c r="E13" i="4" s="1"/>
  <c r="L10" i="4"/>
  <c r="K10" i="4"/>
  <c r="J10" i="4"/>
  <c r="I10" i="4"/>
  <c r="H10" i="4"/>
  <c r="G10" i="4"/>
  <c r="F10" i="4"/>
  <c r="E10" i="4"/>
  <c r="I70" i="2"/>
  <c r="I35" i="2"/>
  <c r="J35" i="2"/>
  <c r="K35" i="2"/>
  <c r="L35" i="2"/>
  <c r="M35" i="2"/>
  <c r="N35" i="2"/>
  <c r="O35" i="2"/>
  <c r="P35" i="2"/>
  <c r="Q35" i="2"/>
  <c r="I36" i="2"/>
  <c r="J36" i="2"/>
  <c r="K36" i="2"/>
  <c r="L36" i="2"/>
  <c r="M36" i="2"/>
  <c r="N36" i="2"/>
  <c r="O36" i="2"/>
  <c r="P36" i="2"/>
  <c r="Q36" i="2"/>
  <c r="I37" i="2"/>
  <c r="J37" i="2"/>
  <c r="K37" i="2"/>
  <c r="L37" i="2"/>
  <c r="M37" i="2"/>
  <c r="N37" i="2"/>
  <c r="O37" i="2"/>
  <c r="P37" i="2"/>
  <c r="Q37" i="2"/>
  <c r="I38" i="2"/>
  <c r="J38" i="2"/>
  <c r="K38" i="2"/>
  <c r="L38" i="2"/>
  <c r="M38" i="2"/>
  <c r="N38" i="2"/>
  <c r="O38" i="2"/>
  <c r="P38" i="2"/>
  <c r="Q38" i="2"/>
  <c r="I39" i="2"/>
  <c r="J39" i="2"/>
  <c r="K39" i="2"/>
  <c r="L39" i="2"/>
  <c r="M39" i="2"/>
  <c r="N39" i="2"/>
  <c r="O39" i="2"/>
  <c r="P39" i="2"/>
  <c r="Q39" i="2"/>
  <c r="I40" i="2"/>
  <c r="J40" i="2"/>
  <c r="K40" i="2"/>
  <c r="L40" i="2"/>
  <c r="M40" i="2"/>
  <c r="N40" i="2"/>
  <c r="O40" i="2"/>
  <c r="P40" i="2"/>
  <c r="Q40" i="2"/>
  <c r="J41" i="2"/>
  <c r="K41" i="2"/>
  <c r="N41" i="2"/>
  <c r="O41" i="2"/>
  <c r="I42" i="2"/>
  <c r="J42" i="2"/>
  <c r="K42" i="2"/>
  <c r="L42" i="2"/>
  <c r="M42" i="2"/>
  <c r="N42" i="2"/>
  <c r="O42" i="2"/>
  <c r="P42" i="2"/>
  <c r="Q42" i="2"/>
  <c r="I43" i="2"/>
  <c r="J43" i="2"/>
  <c r="K43" i="2"/>
  <c r="L43" i="2"/>
  <c r="M43" i="2"/>
  <c r="N43" i="2"/>
  <c r="O43" i="2"/>
  <c r="P43" i="2"/>
  <c r="Q43" i="2"/>
  <c r="I44" i="2"/>
  <c r="J44" i="2"/>
  <c r="K44" i="2"/>
  <c r="L44" i="2"/>
  <c r="M44" i="2"/>
  <c r="N44" i="2"/>
  <c r="O44" i="2"/>
  <c r="P44" i="2"/>
  <c r="Q44" i="2"/>
  <c r="I45" i="2"/>
  <c r="J45" i="2"/>
  <c r="K45" i="2"/>
  <c r="L45" i="2"/>
  <c r="M45" i="2"/>
  <c r="N45" i="2"/>
  <c r="O45" i="2"/>
  <c r="P45" i="2"/>
  <c r="Q45" i="2"/>
  <c r="I46" i="2"/>
  <c r="J46" i="2"/>
  <c r="K46" i="2"/>
  <c r="L46" i="2"/>
  <c r="M46" i="2"/>
  <c r="N46" i="2"/>
  <c r="O46" i="2"/>
  <c r="P46" i="2"/>
  <c r="Q46" i="2"/>
  <c r="I47" i="2"/>
  <c r="J47" i="2"/>
  <c r="K47" i="2"/>
  <c r="L47" i="2"/>
  <c r="M47" i="2"/>
  <c r="N47" i="2"/>
  <c r="O47" i="2"/>
  <c r="P47" i="2"/>
  <c r="Q47" i="2"/>
  <c r="I48" i="2"/>
  <c r="J48" i="2"/>
  <c r="K48" i="2"/>
  <c r="L48" i="2"/>
  <c r="M48" i="2"/>
  <c r="N48" i="2"/>
  <c r="O48" i="2"/>
  <c r="P48" i="2"/>
  <c r="Q48" i="2"/>
  <c r="I49" i="2"/>
  <c r="J49" i="2"/>
  <c r="K49" i="2"/>
  <c r="L49" i="2"/>
  <c r="M49" i="2"/>
  <c r="N49" i="2"/>
  <c r="O49" i="2"/>
  <c r="P49" i="2"/>
  <c r="Q49" i="2"/>
  <c r="I50" i="2"/>
  <c r="J50" i="2"/>
  <c r="K50" i="2"/>
  <c r="L50" i="2"/>
  <c r="M50" i="2"/>
  <c r="N50" i="2"/>
  <c r="O50" i="2"/>
  <c r="P50" i="2"/>
  <c r="Q50" i="2"/>
  <c r="I51" i="2"/>
  <c r="J51" i="2"/>
  <c r="K51" i="2"/>
  <c r="L51" i="2"/>
  <c r="M51" i="2"/>
  <c r="N51" i="2"/>
  <c r="O51" i="2"/>
  <c r="P51" i="2"/>
  <c r="Q51" i="2"/>
  <c r="I52" i="2"/>
  <c r="J52" i="2"/>
  <c r="K52" i="2"/>
  <c r="L52" i="2"/>
  <c r="M52" i="2"/>
  <c r="N52" i="2"/>
  <c r="O52" i="2"/>
  <c r="P52" i="2"/>
  <c r="Q52" i="2"/>
  <c r="I53" i="2"/>
  <c r="J53" i="2"/>
  <c r="K53" i="2"/>
  <c r="L53" i="2"/>
  <c r="M53" i="2"/>
  <c r="N53" i="2"/>
  <c r="O53" i="2"/>
  <c r="P53" i="2"/>
  <c r="Q53" i="2"/>
  <c r="I54" i="2"/>
  <c r="J54" i="2"/>
  <c r="K54" i="2"/>
  <c r="L54" i="2"/>
  <c r="M54" i="2"/>
  <c r="N54" i="2"/>
  <c r="O54" i="2"/>
  <c r="P54" i="2"/>
  <c r="Q54" i="2"/>
  <c r="I55" i="2"/>
  <c r="J55" i="2"/>
  <c r="K55" i="2"/>
  <c r="L55" i="2"/>
  <c r="M55" i="2"/>
  <c r="N55" i="2"/>
  <c r="O55" i="2"/>
  <c r="P55" i="2"/>
  <c r="Q55" i="2"/>
  <c r="I56" i="2"/>
  <c r="J56" i="2"/>
  <c r="K56" i="2"/>
  <c r="L56" i="2"/>
  <c r="M56" i="2"/>
  <c r="N56" i="2"/>
  <c r="O56" i="2"/>
  <c r="P56" i="2"/>
  <c r="Q56" i="2"/>
  <c r="I57" i="2"/>
  <c r="J57" i="2"/>
  <c r="K57" i="2"/>
  <c r="L57" i="2"/>
  <c r="M57" i="2"/>
  <c r="N57" i="2"/>
  <c r="O57" i="2"/>
  <c r="P57" i="2"/>
  <c r="Q57" i="2"/>
  <c r="I58" i="2"/>
  <c r="J58" i="2"/>
  <c r="K58" i="2"/>
  <c r="L58" i="2"/>
  <c r="M58" i="2"/>
  <c r="N58" i="2"/>
  <c r="O58" i="2"/>
  <c r="P58" i="2"/>
  <c r="Q58" i="2"/>
  <c r="I59" i="2"/>
  <c r="J59" i="2"/>
  <c r="K59" i="2"/>
  <c r="L59" i="2"/>
  <c r="M59" i="2"/>
  <c r="N59" i="2"/>
  <c r="O59" i="2"/>
  <c r="P59" i="2"/>
  <c r="Q59" i="2"/>
  <c r="I60" i="2"/>
  <c r="J60" i="2"/>
  <c r="K60" i="2"/>
  <c r="L60" i="2"/>
  <c r="M60" i="2"/>
  <c r="N60" i="2"/>
  <c r="O60" i="2"/>
  <c r="P60" i="2"/>
  <c r="Q60" i="2"/>
  <c r="I61" i="2"/>
  <c r="J61" i="2"/>
  <c r="K61" i="2"/>
  <c r="L61" i="2"/>
  <c r="M61" i="2"/>
  <c r="N61" i="2"/>
  <c r="O61" i="2"/>
  <c r="P61" i="2"/>
  <c r="Q61" i="2"/>
  <c r="I62" i="2"/>
  <c r="J62" i="2"/>
  <c r="K62" i="2"/>
  <c r="L62" i="2"/>
  <c r="M62" i="2"/>
  <c r="N62" i="2"/>
  <c r="O62" i="2"/>
  <c r="P62" i="2"/>
  <c r="Q62" i="2"/>
  <c r="I63" i="2"/>
  <c r="J63" i="2"/>
  <c r="K63" i="2"/>
  <c r="L63" i="2"/>
  <c r="M63" i="2"/>
  <c r="N63" i="2"/>
  <c r="O63" i="2"/>
  <c r="P63" i="2"/>
  <c r="Q63" i="2"/>
  <c r="I64" i="2"/>
  <c r="J64" i="2"/>
  <c r="K64" i="2"/>
  <c r="L64" i="2"/>
  <c r="M64" i="2"/>
  <c r="N64" i="2"/>
  <c r="O64" i="2"/>
  <c r="P64" i="2"/>
  <c r="Q64" i="2"/>
  <c r="I65" i="2"/>
  <c r="J65" i="2"/>
  <c r="K65" i="2"/>
  <c r="L65" i="2"/>
  <c r="M65" i="2"/>
  <c r="N65" i="2"/>
  <c r="O65" i="2"/>
  <c r="P65" i="2"/>
  <c r="Q65" i="2"/>
  <c r="I66" i="2"/>
  <c r="J66" i="2"/>
  <c r="K66" i="2"/>
  <c r="L66" i="2"/>
  <c r="M66" i="2"/>
  <c r="N66" i="2"/>
  <c r="O66" i="2"/>
  <c r="P66" i="2"/>
  <c r="Q66" i="2"/>
  <c r="I67" i="2"/>
  <c r="J67" i="2"/>
  <c r="K67" i="2"/>
  <c r="L67" i="2"/>
  <c r="M67" i="2"/>
  <c r="N67" i="2"/>
  <c r="O67" i="2"/>
  <c r="P67" i="2"/>
  <c r="Q67" i="2"/>
  <c r="I68" i="2"/>
  <c r="J68" i="2"/>
  <c r="K68" i="2"/>
  <c r="L68" i="2"/>
  <c r="M68" i="2"/>
  <c r="N68" i="2"/>
  <c r="O68" i="2"/>
  <c r="P68" i="2"/>
  <c r="Q68" i="2"/>
  <c r="H36" i="2"/>
  <c r="H37" i="2"/>
  <c r="H38" i="2"/>
  <c r="H39" i="2"/>
  <c r="H40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R6" i="1"/>
  <c r="S6" i="1"/>
  <c r="T6" i="1"/>
  <c r="U6" i="1"/>
  <c r="V6" i="1"/>
  <c r="W6" i="1"/>
  <c r="X6" i="1"/>
  <c r="Y6" i="1"/>
  <c r="Z6" i="1"/>
  <c r="AA6" i="1"/>
  <c r="R7" i="1"/>
  <c r="S7" i="1"/>
  <c r="T7" i="1"/>
  <c r="U7" i="1"/>
  <c r="V7" i="1"/>
  <c r="W7" i="1"/>
  <c r="X7" i="1"/>
  <c r="Y7" i="1"/>
  <c r="Z7" i="1"/>
  <c r="AA7" i="1"/>
  <c r="R8" i="1"/>
  <c r="S8" i="1"/>
  <c r="T8" i="1"/>
  <c r="U8" i="1"/>
  <c r="V8" i="1"/>
  <c r="W8" i="1"/>
  <c r="X8" i="1"/>
  <c r="Y8" i="1"/>
  <c r="Z8" i="1"/>
  <c r="AA8" i="1"/>
  <c r="R9" i="1"/>
  <c r="S9" i="1"/>
  <c r="T9" i="1"/>
  <c r="U9" i="1"/>
  <c r="V9" i="1"/>
  <c r="W9" i="1"/>
  <c r="X9" i="1"/>
  <c r="Y9" i="1"/>
  <c r="Z9" i="1"/>
  <c r="AA9" i="1"/>
  <c r="R10" i="1"/>
  <c r="S10" i="1"/>
  <c r="T10" i="1"/>
  <c r="U10" i="1"/>
  <c r="V10" i="1"/>
  <c r="W10" i="1"/>
  <c r="X10" i="1"/>
  <c r="Y10" i="1"/>
  <c r="Z10" i="1"/>
  <c r="AA10" i="1"/>
  <c r="T11" i="1"/>
  <c r="X11" i="1"/>
  <c r="R12" i="1"/>
  <c r="S12" i="1"/>
  <c r="T12" i="1"/>
  <c r="U12" i="1"/>
  <c r="V12" i="1"/>
  <c r="W12" i="1"/>
  <c r="X12" i="1"/>
  <c r="Y12" i="1"/>
  <c r="Z12" i="1"/>
  <c r="AA12" i="1"/>
  <c r="R13" i="1"/>
  <c r="S13" i="1"/>
  <c r="T13" i="1"/>
  <c r="U13" i="1"/>
  <c r="V13" i="1"/>
  <c r="W13" i="1"/>
  <c r="X13" i="1"/>
  <c r="Y13" i="1"/>
  <c r="Z13" i="1"/>
  <c r="AA13" i="1"/>
  <c r="R14" i="1"/>
  <c r="S14" i="1"/>
  <c r="T14" i="1"/>
  <c r="U14" i="1"/>
  <c r="V14" i="1"/>
  <c r="W14" i="1"/>
  <c r="X14" i="1"/>
  <c r="Y14" i="1"/>
  <c r="Z14" i="1"/>
  <c r="AA14" i="1"/>
  <c r="R15" i="1"/>
  <c r="S15" i="1"/>
  <c r="T15" i="1"/>
  <c r="U15" i="1"/>
  <c r="V15" i="1"/>
  <c r="W15" i="1"/>
  <c r="X15" i="1"/>
  <c r="Y15" i="1"/>
  <c r="Z15" i="1"/>
  <c r="AA15" i="1"/>
  <c r="R16" i="1"/>
  <c r="S16" i="1"/>
  <c r="T16" i="1"/>
  <c r="U16" i="1"/>
  <c r="V16" i="1"/>
  <c r="W16" i="1"/>
  <c r="X16" i="1"/>
  <c r="Y16" i="1"/>
  <c r="Z16" i="1"/>
  <c r="AA16" i="1"/>
  <c r="R17" i="1"/>
  <c r="S17" i="1"/>
  <c r="T17" i="1"/>
  <c r="U17" i="1"/>
  <c r="V17" i="1"/>
  <c r="W17" i="1"/>
  <c r="X17" i="1"/>
  <c r="Y17" i="1"/>
  <c r="Z17" i="1"/>
  <c r="AA17" i="1"/>
  <c r="R18" i="1"/>
  <c r="S18" i="1"/>
  <c r="T18" i="1"/>
  <c r="U18" i="1"/>
  <c r="V18" i="1"/>
  <c r="W18" i="1"/>
  <c r="X18" i="1"/>
  <c r="Y18" i="1"/>
  <c r="Z18" i="1"/>
  <c r="AA18" i="1"/>
  <c r="R19" i="1"/>
  <c r="S19" i="1"/>
  <c r="T19" i="1"/>
  <c r="U19" i="1"/>
  <c r="V19" i="1"/>
  <c r="W19" i="1"/>
  <c r="X19" i="1"/>
  <c r="Y19" i="1"/>
  <c r="Z19" i="1"/>
  <c r="AA19" i="1"/>
  <c r="R20" i="1"/>
  <c r="S20" i="1"/>
  <c r="T20" i="1"/>
  <c r="U20" i="1"/>
  <c r="V20" i="1"/>
  <c r="W20" i="1"/>
  <c r="X20" i="1"/>
  <c r="Y20" i="1"/>
  <c r="Z20" i="1"/>
  <c r="AA20" i="1"/>
  <c r="R21" i="1"/>
  <c r="S21" i="1"/>
  <c r="T21" i="1"/>
  <c r="U21" i="1"/>
  <c r="V21" i="1"/>
  <c r="W21" i="1"/>
  <c r="X21" i="1"/>
  <c r="Y21" i="1"/>
  <c r="Z21" i="1"/>
  <c r="AA21" i="1"/>
  <c r="R22" i="1"/>
  <c r="S22" i="1"/>
  <c r="T22" i="1"/>
  <c r="U22" i="1"/>
  <c r="V22" i="1"/>
  <c r="W22" i="1"/>
  <c r="X22" i="1"/>
  <c r="Y22" i="1"/>
  <c r="Z22" i="1"/>
  <c r="AA22" i="1"/>
  <c r="R23" i="1"/>
  <c r="S23" i="1"/>
  <c r="T23" i="1"/>
  <c r="U23" i="1"/>
  <c r="V23" i="1"/>
  <c r="W23" i="1"/>
  <c r="X23" i="1"/>
  <c r="Y23" i="1"/>
  <c r="Z23" i="1"/>
  <c r="AA23" i="1"/>
  <c r="R24" i="1"/>
  <c r="S24" i="1"/>
  <c r="T24" i="1"/>
  <c r="U24" i="1"/>
  <c r="V24" i="1"/>
  <c r="W24" i="1"/>
  <c r="X24" i="1"/>
  <c r="Y24" i="1"/>
  <c r="Z24" i="1"/>
  <c r="AA24" i="1"/>
  <c r="R25" i="1"/>
  <c r="S25" i="1"/>
  <c r="T25" i="1"/>
  <c r="U25" i="1"/>
  <c r="V25" i="1"/>
  <c r="W25" i="1"/>
  <c r="X25" i="1"/>
  <c r="Y25" i="1"/>
  <c r="Z25" i="1"/>
  <c r="AA25" i="1"/>
  <c r="R26" i="1"/>
  <c r="S26" i="1"/>
  <c r="T26" i="1"/>
  <c r="U26" i="1"/>
  <c r="V26" i="1"/>
  <c r="W26" i="1"/>
  <c r="X26" i="1"/>
  <c r="Y26" i="1"/>
  <c r="Z26" i="1"/>
  <c r="AA26" i="1"/>
  <c r="R27" i="1"/>
  <c r="S27" i="1"/>
  <c r="T27" i="1"/>
  <c r="U27" i="1"/>
  <c r="V27" i="1"/>
  <c r="W27" i="1"/>
  <c r="X27" i="1"/>
  <c r="Y27" i="1"/>
  <c r="Z27" i="1"/>
  <c r="AA27" i="1"/>
  <c r="R28" i="1"/>
  <c r="S28" i="1"/>
  <c r="T28" i="1"/>
  <c r="U28" i="1"/>
  <c r="V28" i="1"/>
  <c r="W28" i="1"/>
  <c r="X28" i="1"/>
  <c r="Y28" i="1"/>
  <c r="Z28" i="1"/>
  <c r="AA28" i="1"/>
  <c r="R29" i="1"/>
  <c r="S29" i="1"/>
  <c r="T29" i="1"/>
  <c r="U29" i="1"/>
  <c r="V29" i="1"/>
  <c r="W29" i="1"/>
  <c r="X29" i="1"/>
  <c r="Y29" i="1"/>
  <c r="Z29" i="1"/>
  <c r="AA29" i="1"/>
  <c r="R30" i="1"/>
  <c r="S30" i="1"/>
  <c r="T30" i="1"/>
  <c r="U30" i="1"/>
  <c r="V30" i="1"/>
  <c r="W30" i="1"/>
  <c r="X30" i="1"/>
  <c r="Y30" i="1"/>
  <c r="Z30" i="1"/>
  <c r="AA30" i="1"/>
  <c r="R31" i="1"/>
  <c r="S31" i="1"/>
  <c r="T31" i="1"/>
  <c r="U31" i="1"/>
  <c r="V31" i="1"/>
  <c r="W31" i="1"/>
  <c r="X31" i="1"/>
  <c r="Y31" i="1"/>
  <c r="Z31" i="1"/>
  <c r="AA31" i="1"/>
  <c r="R32" i="1"/>
  <c r="S32" i="1"/>
  <c r="T32" i="1"/>
  <c r="U32" i="1"/>
  <c r="V32" i="1"/>
  <c r="W32" i="1"/>
  <c r="X32" i="1"/>
  <c r="Y32" i="1"/>
  <c r="Z32" i="1"/>
  <c r="AA32" i="1"/>
  <c r="R33" i="1"/>
  <c r="S33" i="1"/>
  <c r="T33" i="1"/>
  <c r="U33" i="1"/>
  <c r="V33" i="1"/>
  <c r="W33" i="1"/>
  <c r="X33" i="1"/>
  <c r="Y33" i="1"/>
  <c r="Z33" i="1"/>
  <c r="AA33" i="1"/>
  <c r="R34" i="1"/>
  <c r="S34" i="1"/>
  <c r="T34" i="1"/>
  <c r="U34" i="1"/>
  <c r="V34" i="1"/>
  <c r="W34" i="1"/>
  <c r="X34" i="1"/>
  <c r="Y34" i="1"/>
  <c r="Z34" i="1"/>
  <c r="AA34" i="1"/>
  <c r="R35" i="1"/>
  <c r="S35" i="1"/>
  <c r="T35" i="1"/>
  <c r="U35" i="1"/>
  <c r="V35" i="1"/>
  <c r="W35" i="1"/>
  <c r="X35" i="1"/>
  <c r="Y35" i="1"/>
  <c r="Z35" i="1"/>
  <c r="AA35" i="1"/>
  <c r="R36" i="1"/>
  <c r="S36" i="1"/>
  <c r="T36" i="1"/>
  <c r="U36" i="1"/>
  <c r="V36" i="1"/>
  <c r="W36" i="1"/>
  <c r="X36" i="1"/>
  <c r="Y36" i="1"/>
  <c r="Z36" i="1"/>
  <c r="AA36" i="1"/>
  <c r="R37" i="1"/>
  <c r="S37" i="1"/>
  <c r="T37" i="1"/>
  <c r="U37" i="1"/>
  <c r="V37" i="1"/>
  <c r="W37" i="1"/>
  <c r="X37" i="1"/>
  <c r="Y37" i="1"/>
  <c r="Z37" i="1"/>
  <c r="AA37" i="1"/>
  <c r="R38" i="1"/>
  <c r="S38" i="1"/>
  <c r="T38" i="1"/>
  <c r="U38" i="1"/>
  <c r="V38" i="1"/>
  <c r="W38" i="1"/>
  <c r="X38" i="1"/>
  <c r="Y38" i="1"/>
  <c r="Z38" i="1"/>
  <c r="AA38" i="1"/>
  <c r="S5" i="1"/>
  <c r="T5" i="1"/>
  <c r="U5" i="1"/>
  <c r="V5" i="1"/>
  <c r="W5" i="1"/>
  <c r="X5" i="1"/>
  <c r="Y5" i="1"/>
  <c r="Z5" i="1"/>
  <c r="AA5" i="1"/>
  <c r="G26" i="1"/>
  <c r="H26" i="1"/>
  <c r="I26" i="1"/>
  <c r="J26" i="1"/>
  <c r="K26" i="1"/>
  <c r="L26" i="1"/>
  <c r="M26" i="1"/>
  <c r="N26" i="1"/>
  <c r="O26" i="1"/>
  <c r="P26" i="1"/>
  <c r="G27" i="1"/>
  <c r="H27" i="1"/>
  <c r="I27" i="1"/>
  <c r="J27" i="1"/>
  <c r="K27" i="1"/>
  <c r="L27" i="1"/>
  <c r="M27" i="1"/>
  <c r="N27" i="1"/>
  <c r="O27" i="1"/>
  <c r="P27" i="1"/>
  <c r="G28" i="1"/>
  <c r="H28" i="1"/>
  <c r="I28" i="1"/>
  <c r="J28" i="1"/>
  <c r="K28" i="1"/>
  <c r="L28" i="1"/>
  <c r="M28" i="1"/>
  <c r="N28" i="1"/>
  <c r="O28" i="1"/>
  <c r="P28" i="1"/>
  <c r="G29" i="1"/>
  <c r="H29" i="1"/>
  <c r="I29" i="1"/>
  <c r="J29" i="1"/>
  <c r="K29" i="1"/>
  <c r="L29" i="1"/>
  <c r="M29" i="1"/>
  <c r="N29" i="1"/>
  <c r="O29" i="1"/>
  <c r="P29" i="1"/>
  <c r="G30" i="1"/>
  <c r="H30" i="1"/>
  <c r="I30" i="1"/>
  <c r="J30" i="1"/>
  <c r="K30" i="1"/>
  <c r="L30" i="1"/>
  <c r="M30" i="1"/>
  <c r="N30" i="1"/>
  <c r="O30" i="1"/>
  <c r="P30" i="1"/>
  <c r="G31" i="1"/>
  <c r="H31" i="1"/>
  <c r="I31" i="1"/>
  <c r="J31" i="1"/>
  <c r="K31" i="1"/>
  <c r="L31" i="1"/>
  <c r="M31" i="1"/>
  <c r="N31" i="1"/>
  <c r="O31" i="1"/>
  <c r="P31" i="1"/>
  <c r="G32" i="1"/>
  <c r="H32" i="1"/>
  <c r="I32" i="1"/>
  <c r="J32" i="1"/>
  <c r="K32" i="1"/>
  <c r="L32" i="1"/>
  <c r="M32" i="1"/>
  <c r="N32" i="1"/>
  <c r="O32" i="1"/>
  <c r="P32" i="1"/>
  <c r="G33" i="1"/>
  <c r="H33" i="1"/>
  <c r="I33" i="1"/>
  <c r="J33" i="1"/>
  <c r="K33" i="1"/>
  <c r="L33" i="1"/>
  <c r="M33" i="1"/>
  <c r="N33" i="1"/>
  <c r="O33" i="1"/>
  <c r="P33" i="1"/>
  <c r="G34" i="1"/>
  <c r="H34" i="1"/>
  <c r="I34" i="1"/>
  <c r="J34" i="1"/>
  <c r="K34" i="1"/>
  <c r="L34" i="1"/>
  <c r="M34" i="1"/>
  <c r="N34" i="1"/>
  <c r="O34" i="1"/>
  <c r="P34" i="1"/>
  <c r="G35" i="1"/>
  <c r="H35" i="1"/>
  <c r="I35" i="1"/>
  <c r="J35" i="1"/>
  <c r="K35" i="1"/>
  <c r="L35" i="1"/>
  <c r="M35" i="1"/>
  <c r="N35" i="1"/>
  <c r="O35" i="1"/>
  <c r="P35" i="1"/>
  <c r="G36" i="1"/>
  <c r="H36" i="1"/>
  <c r="I36" i="1"/>
  <c r="J36" i="1"/>
  <c r="K36" i="1"/>
  <c r="L36" i="1"/>
  <c r="M36" i="1"/>
  <c r="N36" i="1"/>
  <c r="O36" i="1"/>
  <c r="P36" i="1"/>
  <c r="G37" i="1"/>
  <c r="H37" i="1"/>
  <c r="I37" i="1"/>
  <c r="J37" i="1"/>
  <c r="K37" i="1"/>
  <c r="L37" i="1"/>
  <c r="M37" i="1"/>
  <c r="N37" i="1"/>
  <c r="O37" i="1"/>
  <c r="P37" i="1"/>
  <c r="G38" i="1"/>
  <c r="H38" i="1"/>
  <c r="I38" i="1"/>
  <c r="J38" i="1"/>
  <c r="K38" i="1"/>
  <c r="L38" i="1"/>
  <c r="M38" i="1"/>
  <c r="N38" i="1"/>
  <c r="O38" i="1"/>
  <c r="P38" i="1"/>
  <c r="G6" i="1"/>
  <c r="H6" i="1"/>
  <c r="I6" i="1"/>
  <c r="J6" i="1"/>
  <c r="K6" i="1"/>
  <c r="L6" i="1"/>
  <c r="M6" i="1"/>
  <c r="N6" i="1"/>
  <c r="O6" i="1"/>
  <c r="P6" i="1"/>
  <c r="G7" i="1"/>
  <c r="H7" i="1"/>
  <c r="I7" i="1"/>
  <c r="J7" i="1"/>
  <c r="K7" i="1"/>
  <c r="L7" i="1"/>
  <c r="M7" i="1"/>
  <c r="N7" i="1"/>
  <c r="O7" i="1"/>
  <c r="P7" i="1"/>
  <c r="G8" i="1"/>
  <c r="H8" i="1"/>
  <c r="I8" i="1"/>
  <c r="J8" i="1"/>
  <c r="K8" i="1"/>
  <c r="L8" i="1"/>
  <c r="M8" i="1"/>
  <c r="N8" i="1"/>
  <c r="O8" i="1"/>
  <c r="P8" i="1"/>
  <c r="G9" i="1"/>
  <c r="H9" i="1"/>
  <c r="I9" i="1"/>
  <c r="J9" i="1"/>
  <c r="K9" i="1"/>
  <c r="L9" i="1"/>
  <c r="M9" i="1"/>
  <c r="N9" i="1"/>
  <c r="O9" i="1"/>
  <c r="P9" i="1"/>
  <c r="G10" i="1"/>
  <c r="H10" i="1"/>
  <c r="I10" i="1"/>
  <c r="J10" i="1"/>
  <c r="K10" i="1"/>
  <c r="L10" i="1"/>
  <c r="M10" i="1"/>
  <c r="N10" i="1"/>
  <c r="O10" i="1"/>
  <c r="P10" i="1"/>
  <c r="G11" i="1"/>
  <c r="R11" i="1" s="1"/>
  <c r="H11" i="1"/>
  <c r="I41" i="2" s="1"/>
  <c r="I11" i="1"/>
  <c r="J11" i="1"/>
  <c r="U11" i="1" s="1"/>
  <c r="K11" i="1"/>
  <c r="L41" i="2" s="1"/>
  <c r="L11" i="1"/>
  <c r="M41" i="2" s="1"/>
  <c r="M11" i="1"/>
  <c r="N11" i="1"/>
  <c r="Y11" i="1" s="1"/>
  <c r="O11" i="1"/>
  <c r="P41" i="2" s="1"/>
  <c r="P11" i="1"/>
  <c r="Q41" i="2" s="1"/>
  <c r="G12" i="1"/>
  <c r="H12" i="1"/>
  <c r="I12" i="1"/>
  <c r="J12" i="1"/>
  <c r="K12" i="1"/>
  <c r="L12" i="1"/>
  <c r="M12" i="1"/>
  <c r="N12" i="1"/>
  <c r="O12" i="1"/>
  <c r="P12" i="1"/>
  <c r="G13" i="1"/>
  <c r="H13" i="1"/>
  <c r="I13" i="1"/>
  <c r="J13" i="1"/>
  <c r="K13" i="1"/>
  <c r="L13" i="1"/>
  <c r="M13" i="1"/>
  <c r="N13" i="1"/>
  <c r="O13" i="1"/>
  <c r="P13" i="1"/>
  <c r="G14" i="1"/>
  <c r="H14" i="1"/>
  <c r="I14" i="1"/>
  <c r="J14" i="1"/>
  <c r="K14" i="1"/>
  <c r="L14" i="1"/>
  <c r="M14" i="1"/>
  <c r="N14" i="1"/>
  <c r="O14" i="1"/>
  <c r="P14" i="1"/>
  <c r="G15" i="1"/>
  <c r="H15" i="1"/>
  <c r="I15" i="1"/>
  <c r="J15" i="1"/>
  <c r="K15" i="1"/>
  <c r="L15" i="1"/>
  <c r="M15" i="1"/>
  <c r="N15" i="1"/>
  <c r="O15" i="1"/>
  <c r="P15" i="1"/>
  <c r="G16" i="1"/>
  <c r="H16" i="1"/>
  <c r="I16" i="1"/>
  <c r="J16" i="1"/>
  <c r="K16" i="1"/>
  <c r="L16" i="1"/>
  <c r="M16" i="1"/>
  <c r="N16" i="1"/>
  <c r="O16" i="1"/>
  <c r="P16" i="1"/>
  <c r="G17" i="1"/>
  <c r="H17" i="1"/>
  <c r="I17" i="1"/>
  <c r="J17" i="1"/>
  <c r="K17" i="1"/>
  <c r="L17" i="1"/>
  <c r="M17" i="1"/>
  <c r="N17" i="1"/>
  <c r="O17" i="1"/>
  <c r="P17" i="1"/>
  <c r="G18" i="1"/>
  <c r="H18" i="1"/>
  <c r="I18" i="1"/>
  <c r="J18" i="1"/>
  <c r="K18" i="1"/>
  <c r="L18" i="1"/>
  <c r="M18" i="1"/>
  <c r="N18" i="1"/>
  <c r="O18" i="1"/>
  <c r="P18" i="1"/>
  <c r="G19" i="1"/>
  <c r="H19" i="1"/>
  <c r="I19" i="1"/>
  <c r="J19" i="1"/>
  <c r="K19" i="1"/>
  <c r="L19" i="1"/>
  <c r="M19" i="1"/>
  <c r="N19" i="1"/>
  <c r="O19" i="1"/>
  <c r="P19" i="1"/>
  <c r="G20" i="1"/>
  <c r="H20" i="1"/>
  <c r="I20" i="1"/>
  <c r="J20" i="1"/>
  <c r="K20" i="1"/>
  <c r="L20" i="1"/>
  <c r="M20" i="1"/>
  <c r="N20" i="1"/>
  <c r="O20" i="1"/>
  <c r="P20" i="1"/>
  <c r="G21" i="1"/>
  <c r="H21" i="1"/>
  <c r="I21" i="1"/>
  <c r="J21" i="1"/>
  <c r="K21" i="1"/>
  <c r="L21" i="1"/>
  <c r="M21" i="1"/>
  <c r="N21" i="1"/>
  <c r="O21" i="1"/>
  <c r="P21" i="1"/>
  <c r="G22" i="1"/>
  <c r="H22" i="1"/>
  <c r="I22" i="1"/>
  <c r="J22" i="1"/>
  <c r="K22" i="1"/>
  <c r="L22" i="1"/>
  <c r="M22" i="1"/>
  <c r="N22" i="1"/>
  <c r="O22" i="1"/>
  <c r="P22" i="1"/>
  <c r="G23" i="1"/>
  <c r="H23" i="1"/>
  <c r="I23" i="1"/>
  <c r="J23" i="1"/>
  <c r="K23" i="1"/>
  <c r="L23" i="1"/>
  <c r="M23" i="1"/>
  <c r="N23" i="1"/>
  <c r="O23" i="1"/>
  <c r="P23" i="1"/>
  <c r="G24" i="1"/>
  <c r="H24" i="1"/>
  <c r="I24" i="1"/>
  <c r="J24" i="1"/>
  <c r="K24" i="1"/>
  <c r="L24" i="1"/>
  <c r="M24" i="1"/>
  <c r="N24" i="1"/>
  <c r="O24" i="1"/>
  <c r="P24" i="1"/>
  <c r="G25" i="1"/>
  <c r="H25" i="1"/>
  <c r="I25" i="1"/>
  <c r="J25" i="1"/>
  <c r="K25" i="1"/>
  <c r="L25" i="1"/>
  <c r="M25" i="1"/>
  <c r="N25" i="1"/>
  <c r="O25" i="1"/>
  <c r="P25" i="1"/>
  <c r="P5" i="1"/>
  <c r="O5" i="1"/>
  <c r="N5" i="1"/>
  <c r="M5" i="1"/>
  <c r="L5" i="1"/>
  <c r="K5" i="1"/>
  <c r="J5" i="1"/>
  <c r="I5" i="1"/>
  <c r="H5" i="1"/>
  <c r="E36" i="1"/>
  <c r="E31" i="1"/>
  <c r="E33" i="1"/>
  <c r="E26" i="1"/>
  <c r="E24" i="1"/>
  <c r="E11" i="1"/>
  <c r="E22" i="1"/>
  <c r="I156" i="2"/>
  <c r="J156" i="2"/>
  <c r="K156" i="2"/>
  <c r="L156" i="2"/>
  <c r="M156" i="2"/>
  <c r="N156" i="2"/>
  <c r="O156" i="2"/>
  <c r="P156" i="2"/>
  <c r="Q156" i="2"/>
  <c r="H156" i="2"/>
  <c r="L9" i="5"/>
  <c r="M9" i="5"/>
  <c r="N9" i="5"/>
  <c r="O9" i="5"/>
  <c r="P9" i="5"/>
  <c r="Q9" i="5"/>
  <c r="R9" i="5"/>
  <c r="L10" i="5"/>
  <c r="M10" i="5"/>
  <c r="N10" i="5"/>
  <c r="O10" i="5"/>
  <c r="P10" i="5"/>
  <c r="Q10" i="5"/>
  <c r="R10" i="5"/>
  <c r="K10" i="5"/>
  <c r="K9" i="5"/>
  <c r="J10" i="5"/>
  <c r="J9" i="5"/>
  <c r="I15" i="2"/>
  <c r="L8" i="11"/>
  <c r="J11" i="11" s="1"/>
  <c r="L11" i="11" s="1"/>
  <c r="I23" i="3"/>
  <c r="J23" i="3"/>
  <c r="K23" i="3" s="1"/>
  <c r="L23" i="3" s="1"/>
  <c r="M23" i="3" s="1"/>
  <c r="I24" i="3"/>
  <c r="J24" i="3"/>
  <c r="K24" i="3"/>
  <c r="L24" i="3" s="1"/>
  <c r="M24" i="3" s="1"/>
  <c r="I25" i="3"/>
  <c r="J25" i="3" s="1"/>
  <c r="K25" i="3" s="1"/>
  <c r="L25" i="3" s="1"/>
  <c r="M25" i="3" s="1"/>
  <c r="I26" i="3"/>
  <c r="J26" i="3" s="1"/>
  <c r="K26" i="3" s="1"/>
  <c r="L26" i="3" s="1"/>
  <c r="M26" i="3" s="1"/>
  <c r="I27" i="3"/>
  <c r="J27" i="3" s="1"/>
  <c r="K27" i="3" s="1"/>
  <c r="L27" i="3" s="1"/>
  <c r="M27" i="3" s="1"/>
  <c r="I28" i="3"/>
  <c r="J28" i="3" s="1"/>
  <c r="K28" i="3" s="1"/>
  <c r="L28" i="3" s="1"/>
  <c r="M28" i="3" s="1"/>
  <c r="I29" i="3"/>
  <c r="N28" i="9"/>
  <c r="M3" i="10"/>
  <c r="L3" i="10"/>
  <c r="H70" i="5"/>
  <c r="H74" i="5" s="1"/>
  <c r="R5" i="1"/>
  <c r="Q116" i="2"/>
  <c r="J61" i="5"/>
  <c r="I11" i="1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I50" i="11" s="1"/>
  <c r="I51" i="11" s="1"/>
  <c r="I52" i="11" s="1"/>
  <c r="I53" i="11" s="1"/>
  <c r="I54" i="11" s="1"/>
  <c r="I55" i="11" s="1"/>
  <c r="I56" i="11" s="1"/>
  <c r="I57" i="11" s="1"/>
  <c r="I58" i="11" s="1"/>
  <c r="I59" i="11" s="1"/>
  <c r="I60" i="11" s="1"/>
  <c r="I61" i="11" s="1"/>
  <c r="I62" i="11" s="1"/>
  <c r="I63" i="11" s="1"/>
  <c r="I64" i="11" s="1"/>
  <c r="I65" i="11" s="1"/>
  <c r="I66" i="11" s="1"/>
  <c r="I67" i="11" s="1"/>
  <c r="I68" i="11" s="1"/>
  <c r="I69" i="11" s="1"/>
  <c r="I70" i="11" s="1"/>
  <c r="I71" i="11" s="1"/>
  <c r="I72" i="11" s="1"/>
  <c r="I73" i="11" s="1"/>
  <c r="I74" i="11" s="1"/>
  <c r="I75" i="11" s="1"/>
  <c r="I76" i="11" s="1"/>
  <c r="I77" i="11" s="1"/>
  <c r="I78" i="11" s="1"/>
  <c r="I79" i="11" s="1"/>
  <c r="I80" i="11" s="1"/>
  <c r="I81" i="11" s="1"/>
  <c r="I82" i="11" s="1"/>
  <c r="I83" i="11" s="1"/>
  <c r="I84" i="11" s="1"/>
  <c r="I85" i="11" s="1"/>
  <c r="I86" i="11" s="1"/>
  <c r="I87" i="11" s="1"/>
  <c r="I88" i="11" s="1"/>
  <c r="I89" i="11" s="1"/>
  <c r="I90" i="11" s="1"/>
  <c r="I91" i="11" s="1"/>
  <c r="I92" i="11" s="1"/>
  <c r="I93" i="11" s="1"/>
  <c r="I94" i="11" s="1"/>
  <c r="I95" i="11" s="1"/>
  <c r="I96" i="11" s="1"/>
  <c r="I97" i="11" s="1"/>
  <c r="I98" i="11" s="1"/>
  <c r="I99" i="11" s="1"/>
  <c r="I100" i="11" s="1"/>
  <c r="I101" i="11" s="1"/>
  <c r="I102" i="11" s="1"/>
  <c r="I103" i="11" s="1"/>
  <c r="I104" i="11" s="1"/>
  <c r="I105" i="11" s="1"/>
  <c r="I106" i="11" s="1"/>
  <c r="I107" i="11" s="1"/>
  <c r="I108" i="11" s="1"/>
  <c r="I109" i="11" s="1"/>
  <c r="I110" i="11" s="1"/>
  <c r="I111" i="11" s="1"/>
  <c r="I112" i="11" s="1"/>
  <c r="I113" i="11" s="1"/>
  <c r="I114" i="11" s="1"/>
  <c r="I115" i="11" s="1"/>
  <c r="I116" i="11" s="1"/>
  <c r="I117" i="11" s="1"/>
  <c r="I118" i="11" s="1"/>
  <c r="I119" i="11" s="1"/>
  <c r="I120" i="11" s="1"/>
  <c r="I121" i="11" s="1"/>
  <c r="I122" i="11" s="1"/>
  <c r="I123" i="11" s="1"/>
  <c r="I124" i="11" s="1"/>
  <c r="I125" i="11" s="1"/>
  <c r="I126" i="11" s="1"/>
  <c r="I127" i="11" s="1"/>
  <c r="I128" i="11" s="1"/>
  <c r="I129" i="11" s="1"/>
  <c r="I130" i="11" s="1"/>
  <c r="I131" i="11" s="1"/>
  <c r="I132" i="11" s="1"/>
  <c r="I133" i="11" s="1"/>
  <c r="I134" i="11" s="1"/>
  <c r="I135" i="11" s="1"/>
  <c r="I136" i="11" s="1"/>
  <c r="I137" i="11" s="1"/>
  <c r="I138" i="11" s="1"/>
  <c r="I139" i="11" s="1"/>
  <c r="I140" i="11" s="1"/>
  <c r="I141" i="11" s="1"/>
  <c r="I142" i="11" s="1"/>
  <c r="I143" i="11" s="1"/>
  <c r="I144" i="11" s="1"/>
  <c r="I145" i="11" s="1"/>
  <c r="I146" i="11" s="1"/>
  <c r="I147" i="11" s="1"/>
  <c r="I148" i="11" s="1"/>
  <c r="I149" i="11" s="1"/>
  <c r="I150" i="11" s="1"/>
  <c r="I151" i="11" s="1"/>
  <c r="I152" i="11" s="1"/>
  <c r="I153" i="11" s="1"/>
  <c r="I154" i="11" s="1"/>
  <c r="I155" i="11" s="1"/>
  <c r="I156" i="11" s="1"/>
  <c r="I157" i="11" s="1"/>
  <c r="I158" i="11" s="1"/>
  <c r="I159" i="11" s="1"/>
  <c r="I160" i="11" s="1"/>
  <c r="I161" i="11" s="1"/>
  <c r="I162" i="11" s="1"/>
  <c r="I163" i="11" s="1"/>
  <c r="I164" i="11" s="1"/>
  <c r="I165" i="11" s="1"/>
  <c r="I166" i="11" s="1"/>
  <c r="I167" i="11" s="1"/>
  <c r="I168" i="11" s="1"/>
  <c r="I169" i="11" s="1"/>
  <c r="I170" i="11" s="1"/>
  <c r="I171" i="11" s="1"/>
  <c r="I172" i="11" s="1"/>
  <c r="I173" i="11" s="1"/>
  <c r="I174" i="11" s="1"/>
  <c r="I175" i="11" s="1"/>
  <c r="I176" i="11" s="1"/>
  <c r="I177" i="11" s="1"/>
  <c r="I178" i="11" s="1"/>
  <c r="I179" i="11" s="1"/>
  <c r="I180" i="11" s="1"/>
  <c r="I181" i="11" s="1"/>
  <c r="I182" i="11" s="1"/>
  <c r="I183" i="11" s="1"/>
  <c r="I184" i="11" s="1"/>
  <c r="I185" i="11" s="1"/>
  <c r="I186" i="11" s="1"/>
  <c r="I187" i="11" s="1"/>
  <c r="I188" i="11" s="1"/>
  <c r="I189" i="11" s="1"/>
  <c r="I190" i="11" s="1"/>
  <c r="I191" i="11" s="1"/>
  <c r="I192" i="11" s="1"/>
  <c r="I193" i="11" s="1"/>
  <c r="I194" i="11" s="1"/>
  <c r="I195" i="11" s="1"/>
  <c r="I196" i="11" s="1"/>
  <c r="I197" i="11" s="1"/>
  <c r="I198" i="11" s="1"/>
  <c r="I199" i="11" s="1"/>
  <c r="I200" i="11" s="1"/>
  <c r="I201" i="11" s="1"/>
  <c r="I202" i="11" s="1"/>
  <c r="I203" i="11" s="1"/>
  <c r="I204" i="11" s="1"/>
  <c r="I205" i="11" s="1"/>
  <c r="I206" i="11" s="1"/>
  <c r="I207" i="11" s="1"/>
  <c r="I208" i="11" s="1"/>
  <c r="I209" i="11" s="1"/>
  <c r="I210" i="11" s="1"/>
  <c r="I211" i="11" s="1"/>
  <c r="I212" i="11" s="1"/>
  <c r="I213" i="11" s="1"/>
  <c r="I214" i="11" s="1"/>
  <c r="I215" i="11" s="1"/>
  <c r="I216" i="11" s="1"/>
  <c r="I217" i="11" s="1"/>
  <c r="I218" i="11" s="1"/>
  <c r="I219" i="11" s="1"/>
  <c r="I220" i="11" s="1"/>
  <c r="I221" i="11" s="1"/>
  <c r="I222" i="11" s="1"/>
  <c r="I223" i="11" s="1"/>
  <c r="I224" i="11" s="1"/>
  <c r="I225" i="11" s="1"/>
  <c r="I226" i="11" s="1"/>
  <c r="I227" i="11" s="1"/>
  <c r="I228" i="11" s="1"/>
  <c r="I229" i="11" s="1"/>
  <c r="I230" i="11" s="1"/>
  <c r="I231" i="11" s="1"/>
  <c r="I232" i="11" s="1"/>
  <c r="I233" i="11" s="1"/>
  <c r="I234" i="11" s="1"/>
  <c r="I235" i="11" s="1"/>
  <c r="I236" i="11" s="1"/>
  <c r="I237" i="11" s="1"/>
  <c r="I238" i="11" s="1"/>
  <c r="I239" i="11" s="1"/>
  <c r="I240" i="11" s="1"/>
  <c r="I241" i="11" s="1"/>
  <c r="I242" i="11" s="1"/>
  <c r="I243" i="11" s="1"/>
  <c r="I244" i="11" s="1"/>
  <c r="I245" i="11" s="1"/>
  <c r="I246" i="11" s="1"/>
  <c r="I247" i="11" s="1"/>
  <c r="I248" i="11" s="1"/>
  <c r="I249" i="11" s="1"/>
  <c r="I250" i="11" s="1"/>
  <c r="I251" i="11" s="1"/>
  <c r="I252" i="11" s="1"/>
  <c r="I253" i="11" s="1"/>
  <c r="I254" i="11" s="1"/>
  <c r="I255" i="11" s="1"/>
  <c r="I256" i="11" s="1"/>
  <c r="I257" i="11" s="1"/>
  <c r="I258" i="11" s="1"/>
  <c r="I259" i="11" s="1"/>
  <c r="I260" i="11" s="1"/>
  <c r="I261" i="11" s="1"/>
  <c r="I262" i="11" s="1"/>
  <c r="I263" i="11" s="1"/>
  <c r="I264" i="11" s="1"/>
  <c r="I265" i="11" s="1"/>
  <c r="I266" i="11" s="1"/>
  <c r="I267" i="11" s="1"/>
  <c r="I268" i="11" s="1"/>
  <c r="I269" i="11" s="1"/>
  <c r="I270" i="11" s="1"/>
  <c r="I271" i="11" s="1"/>
  <c r="I272" i="11" s="1"/>
  <c r="I273" i="11" s="1"/>
  <c r="I274" i="11" s="1"/>
  <c r="I275" i="11" s="1"/>
  <c r="I276" i="11" s="1"/>
  <c r="I277" i="11" s="1"/>
  <c r="I278" i="11" s="1"/>
  <c r="I279" i="11" s="1"/>
  <c r="I280" i="11" s="1"/>
  <c r="I281" i="11" s="1"/>
  <c r="I282" i="11" s="1"/>
  <c r="I283" i="11" s="1"/>
  <c r="I284" i="11" s="1"/>
  <c r="I285" i="11" s="1"/>
  <c r="I286" i="11" s="1"/>
  <c r="I287" i="11" s="1"/>
  <c r="I288" i="11" s="1"/>
  <c r="I289" i="11" s="1"/>
  <c r="I290" i="11" s="1"/>
  <c r="I291" i="11" s="1"/>
  <c r="I292" i="11" s="1"/>
  <c r="I293" i="11" s="1"/>
  <c r="I294" i="11" s="1"/>
  <c r="I295" i="11" s="1"/>
  <c r="I296" i="11" s="1"/>
  <c r="I297" i="11" s="1"/>
  <c r="I298" i="11" s="1"/>
  <c r="I299" i="11" s="1"/>
  <c r="I300" i="11" s="1"/>
  <c r="I301" i="11" s="1"/>
  <c r="I302" i="11" s="1"/>
  <c r="I303" i="11" s="1"/>
  <c r="I304" i="11" s="1"/>
  <c r="I305" i="11" s="1"/>
  <c r="I306" i="11" s="1"/>
  <c r="I307" i="11" s="1"/>
  <c r="I308" i="11" s="1"/>
  <c r="I309" i="11" s="1"/>
  <c r="I310" i="11" s="1"/>
  <c r="I311" i="11" s="1"/>
  <c r="I312" i="11" s="1"/>
  <c r="I313" i="11" s="1"/>
  <c r="I314" i="11" s="1"/>
  <c r="I315" i="11" s="1"/>
  <c r="I316" i="11" s="1"/>
  <c r="I317" i="11" s="1"/>
  <c r="I318" i="11" s="1"/>
  <c r="I319" i="11" s="1"/>
  <c r="I320" i="11" s="1"/>
  <c r="I321" i="11" s="1"/>
  <c r="I322" i="11" s="1"/>
  <c r="I323" i="11" s="1"/>
  <c r="I324" i="11" s="1"/>
  <c r="I325" i="11" s="1"/>
  <c r="I326" i="11" s="1"/>
  <c r="I327" i="11" s="1"/>
  <c r="I328" i="11" s="1"/>
  <c r="I329" i="11" s="1"/>
  <c r="I330" i="11" s="1"/>
  <c r="I331" i="11" s="1"/>
  <c r="I332" i="11" s="1"/>
  <c r="I333" i="11" s="1"/>
  <c r="I334" i="11" s="1"/>
  <c r="I335" i="11" s="1"/>
  <c r="I336" i="11" s="1"/>
  <c r="I337" i="11" s="1"/>
  <c r="I338" i="11" s="1"/>
  <c r="I339" i="11" s="1"/>
  <c r="I340" i="11" s="1"/>
  <c r="I341" i="11" s="1"/>
  <c r="I342" i="11" s="1"/>
  <c r="I343" i="11" s="1"/>
  <c r="I344" i="11" s="1"/>
  <c r="I345" i="11" s="1"/>
  <c r="I346" i="11" s="1"/>
  <c r="I347" i="11" s="1"/>
  <c r="I348" i="11" s="1"/>
  <c r="I349" i="11" s="1"/>
  <c r="I350" i="11" s="1"/>
  <c r="I351" i="11" s="1"/>
  <c r="I352" i="11" s="1"/>
  <c r="I353" i="11" s="1"/>
  <c r="I354" i="11" s="1"/>
  <c r="I355" i="11" s="1"/>
  <c r="I356" i="11" s="1"/>
  <c r="I357" i="11" s="1"/>
  <c r="I358" i="11" s="1"/>
  <c r="I359" i="11" s="1"/>
  <c r="I360" i="11" s="1"/>
  <c r="I361" i="11" s="1"/>
  <c r="I362" i="11" s="1"/>
  <c r="I363" i="11" s="1"/>
  <c r="I364" i="11" s="1"/>
  <c r="I365" i="11" s="1"/>
  <c r="I366" i="11" s="1"/>
  <c r="I367" i="11" s="1"/>
  <c r="I368" i="11" s="1"/>
  <c r="I369" i="11" s="1"/>
  <c r="I370" i="11" s="1"/>
  <c r="I371" i="11" s="1"/>
  <c r="I372" i="11" s="1"/>
  <c r="I373" i="11" s="1"/>
  <c r="I374" i="11" s="1"/>
  <c r="I375" i="11" s="1"/>
  <c r="I376" i="11" s="1"/>
  <c r="I377" i="11" s="1"/>
  <c r="I378" i="11" s="1"/>
  <c r="I379" i="11" s="1"/>
  <c r="I380" i="11" s="1"/>
  <c r="I381" i="11" s="1"/>
  <c r="I382" i="11" s="1"/>
  <c r="I383" i="11" s="1"/>
  <c r="I384" i="11" s="1"/>
  <c r="I385" i="11" s="1"/>
  <c r="I386" i="11" s="1"/>
  <c r="I387" i="11" s="1"/>
  <c r="I388" i="11" s="1"/>
  <c r="I389" i="11" s="1"/>
  <c r="I390" i="11" s="1"/>
  <c r="I391" i="11" s="1"/>
  <c r="I392" i="11" s="1"/>
  <c r="I393" i="11" s="1"/>
  <c r="I394" i="11" s="1"/>
  <c r="I395" i="11" s="1"/>
  <c r="I396" i="11" s="1"/>
  <c r="I397" i="11" s="1"/>
  <c r="I398" i="11" s="1"/>
  <c r="I399" i="11" s="1"/>
  <c r="I400" i="11" s="1"/>
  <c r="I401" i="11" s="1"/>
  <c r="I402" i="11" s="1"/>
  <c r="I403" i="11" s="1"/>
  <c r="I404" i="11" s="1"/>
  <c r="I405" i="11" s="1"/>
  <c r="I406" i="11" s="1"/>
  <c r="I407" i="11" s="1"/>
  <c r="I408" i="11" s="1"/>
  <c r="I409" i="11" s="1"/>
  <c r="I410" i="11" s="1"/>
  <c r="I411" i="11" s="1"/>
  <c r="I412" i="11" s="1"/>
  <c r="I413" i="11" s="1"/>
  <c r="I414" i="11" s="1"/>
  <c r="I415" i="11" s="1"/>
  <c r="I416" i="11" s="1"/>
  <c r="I417" i="11" s="1"/>
  <c r="I418" i="11" s="1"/>
  <c r="I419" i="11" s="1"/>
  <c r="I420" i="11" s="1"/>
  <c r="I421" i="11" s="1"/>
  <c r="I422" i="11" s="1"/>
  <c r="I423" i="11" s="1"/>
  <c r="I424" i="11" s="1"/>
  <c r="I425" i="11" s="1"/>
  <c r="I426" i="11" s="1"/>
  <c r="I427" i="11" s="1"/>
  <c r="I428" i="11" s="1"/>
  <c r="I429" i="11" s="1"/>
  <c r="I430" i="11" s="1"/>
  <c r="I431" i="11" s="1"/>
  <c r="I432" i="11" s="1"/>
  <c r="I433" i="11" s="1"/>
  <c r="I434" i="11" s="1"/>
  <c r="I435" i="11" s="1"/>
  <c r="I436" i="11" s="1"/>
  <c r="I437" i="11" s="1"/>
  <c r="I438" i="11" s="1"/>
  <c r="I439" i="11" s="1"/>
  <c r="I440" i="11" s="1"/>
  <c r="I441" i="11" s="1"/>
  <c r="I442" i="11" s="1"/>
  <c r="I443" i="11" s="1"/>
  <c r="I444" i="11" s="1"/>
  <c r="I445" i="11" s="1"/>
  <c r="I446" i="11" s="1"/>
  <c r="I447" i="11" s="1"/>
  <c r="I448" i="11" s="1"/>
  <c r="I449" i="11" s="1"/>
  <c r="I450" i="11" s="1"/>
  <c r="I451" i="11" s="1"/>
  <c r="I452" i="11" s="1"/>
  <c r="I453" i="11" s="1"/>
  <c r="I454" i="11" s="1"/>
  <c r="I455" i="11" s="1"/>
  <c r="I456" i="11" s="1"/>
  <c r="I457" i="11" s="1"/>
  <c r="I458" i="11" s="1"/>
  <c r="I459" i="11" s="1"/>
  <c r="I460" i="11" s="1"/>
  <c r="I461" i="11" s="1"/>
  <c r="I462" i="11" s="1"/>
  <c r="I463" i="11" s="1"/>
  <c r="I464" i="11" s="1"/>
  <c r="I465" i="11" s="1"/>
  <c r="I466" i="11" s="1"/>
  <c r="I467" i="11" s="1"/>
  <c r="I468" i="11" s="1"/>
  <c r="I469" i="11" s="1"/>
  <c r="I470" i="11" s="1"/>
  <c r="I471" i="11" s="1"/>
  <c r="I472" i="11" s="1"/>
  <c r="I473" i="11" s="1"/>
  <c r="I474" i="11" s="1"/>
  <c r="I475" i="11" s="1"/>
  <c r="I476" i="11" s="1"/>
  <c r="I477" i="11" s="1"/>
  <c r="I478" i="11" s="1"/>
  <c r="I479" i="11" s="1"/>
  <c r="I480" i="11" s="1"/>
  <c r="I481" i="11" s="1"/>
  <c r="I482" i="11" s="1"/>
  <c r="I483" i="11" s="1"/>
  <c r="I484" i="11" s="1"/>
  <c r="I485" i="11" s="1"/>
  <c r="I486" i="11" s="1"/>
  <c r="I487" i="11" s="1"/>
  <c r="I488" i="11" s="1"/>
  <c r="I489" i="11" s="1"/>
  <c r="I13" i="4" l="1"/>
  <c r="AA11" i="1"/>
  <c r="S11" i="1"/>
  <c r="H41" i="2"/>
  <c r="Z11" i="1"/>
  <c r="W11" i="1"/>
  <c r="V11" i="1"/>
  <c r="K61" i="5"/>
  <c r="K11" i="11"/>
  <c r="M11" i="11" s="1"/>
  <c r="N11" i="11" s="1"/>
  <c r="J12" i="11" s="1"/>
  <c r="J13" i="4" l="1"/>
  <c r="I14" i="4"/>
  <c r="L12" i="11"/>
  <c r="K12" i="11"/>
  <c r="K13" i="4" l="1"/>
  <c r="J14" i="4"/>
  <c r="M12" i="11"/>
  <c r="N12" i="11" s="1"/>
  <c r="J13" i="11" s="1"/>
  <c r="L13" i="11" s="1"/>
  <c r="L13" i="4" l="1"/>
  <c r="L14" i="4" s="1"/>
  <c r="K14" i="4"/>
  <c r="K13" i="11"/>
  <c r="M13" i="11" s="1"/>
  <c r="N13" i="11" s="1"/>
  <c r="J14" i="11" s="1"/>
  <c r="L14" i="11" s="1"/>
  <c r="K14" i="11" l="1"/>
  <c r="M14" i="11" s="1"/>
  <c r="N14" i="11" s="1"/>
  <c r="J15" i="11" s="1"/>
  <c r="K15" i="11" l="1"/>
  <c r="L15" i="11"/>
  <c r="M15" i="11" l="1"/>
  <c r="N15" i="11" s="1"/>
  <c r="J16" i="11" s="1"/>
  <c r="L16" i="11" s="1"/>
  <c r="K16" i="11" l="1"/>
  <c r="M16" i="11" s="1"/>
  <c r="N16" i="11" s="1"/>
  <c r="J17" i="11" s="1"/>
  <c r="L17" i="11" s="1"/>
  <c r="K17" i="11" l="1"/>
  <c r="M17" i="11" s="1"/>
  <c r="N17" i="11" s="1"/>
  <c r="J18" i="11" s="1"/>
  <c r="H114" i="2" l="1"/>
  <c r="H116" i="2" s="1"/>
  <c r="L18" i="11"/>
  <c r="K18" i="11"/>
  <c r="M18" i="11" l="1"/>
  <c r="N18" i="11" s="1"/>
  <c r="J19" i="11" s="1"/>
  <c r="E28" i="9" l="1"/>
  <c r="L19" i="11"/>
  <c r="K19" i="11"/>
  <c r="M19" i="11" l="1"/>
  <c r="N19" i="11" s="1"/>
  <c r="J20" i="11" s="1"/>
  <c r="L20" i="11" l="1"/>
  <c r="K20" i="11"/>
  <c r="M20" i="11" l="1"/>
  <c r="N20" i="11" s="1"/>
  <c r="J21" i="11" s="1"/>
  <c r="K21" i="11" l="1"/>
  <c r="L21" i="11"/>
  <c r="M21" i="11" l="1"/>
  <c r="N21" i="11" s="1"/>
  <c r="J22" i="11" s="1"/>
  <c r="K22" i="11" l="1"/>
  <c r="L22" i="11"/>
  <c r="M22" i="11" l="1"/>
  <c r="N22" i="11" s="1"/>
  <c r="J23" i="11" l="1"/>
  <c r="K23" i="11" s="1"/>
  <c r="L61" i="5"/>
  <c r="L23" i="11"/>
  <c r="M23" i="11" l="1"/>
  <c r="N23" i="11" s="1"/>
  <c r="J24" i="11" s="1"/>
  <c r="L24" i="11" s="1"/>
  <c r="K24" i="11" l="1"/>
  <c r="M24" i="11" s="1"/>
  <c r="N24" i="11" s="1"/>
  <c r="J25" i="11" s="1"/>
  <c r="K25" i="11" s="1"/>
  <c r="L25" i="11" l="1"/>
  <c r="M25" i="11" s="1"/>
  <c r="N25" i="11" s="1"/>
  <c r="J26" i="11" s="1"/>
  <c r="L26" i="11" l="1"/>
  <c r="K26" i="11"/>
  <c r="M26" i="11" s="1"/>
  <c r="N26" i="11" s="1"/>
  <c r="J27" i="11" s="1"/>
  <c r="K27" i="11" l="1"/>
  <c r="L27" i="11"/>
  <c r="I114" i="2" l="1"/>
  <c r="I116" i="2" s="1"/>
  <c r="M27" i="11"/>
  <c r="N27" i="11" s="1"/>
  <c r="J28" i="11" s="1"/>
  <c r="L28" i="11" l="1"/>
  <c r="K28" i="11"/>
  <c r="F28" i="9" l="1"/>
  <c r="M28" i="11"/>
  <c r="N28" i="11" s="1"/>
  <c r="J29" i="11" s="1"/>
  <c r="K29" i="11" s="1"/>
  <c r="L29" i="11" l="1"/>
  <c r="M29" i="11" s="1"/>
  <c r="N29" i="11" s="1"/>
  <c r="J30" i="11" s="1"/>
  <c r="L30" i="11" s="1"/>
  <c r="K30" i="11" l="1"/>
  <c r="M30" i="11" s="1"/>
  <c r="N30" i="11" s="1"/>
  <c r="J31" i="11" s="1"/>
  <c r="L31" i="11" l="1"/>
  <c r="K31" i="11"/>
  <c r="M31" i="11" l="1"/>
  <c r="N31" i="11" s="1"/>
  <c r="J32" i="11" s="1"/>
  <c r="K32" i="11" s="1"/>
  <c r="L32" i="11" l="1"/>
  <c r="M32" i="11" s="1"/>
  <c r="N32" i="11" s="1"/>
  <c r="J33" i="11" s="1"/>
  <c r="L33" i="11" l="1"/>
  <c r="K33" i="11"/>
  <c r="M33" i="11" s="1"/>
  <c r="N33" i="11" s="1"/>
  <c r="J34" i="11" s="1"/>
  <c r="K34" i="11" s="1"/>
  <c r="L34" i="11" l="1"/>
  <c r="M34" i="11" s="1"/>
  <c r="N34" i="11" s="1"/>
  <c r="J35" i="11" l="1"/>
  <c r="M61" i="5"/>
  <c r="L35" i="11" l="1"/>
  <c r="K35" i="11"/>
  <c r="M35" i="11" l="1"/>
  <c r="N35" i="11" s="1"/>
  <c r="J36" i="11" s="1"/>
  <c r="L36" i="11" s="1"/>
  <c r="K36" i="11" l="1"/>
  <c r="M36" i="11" s="1"/>
  <c r="N36" i="11" s="1"/>
  <c r="J37" i="11" s="1"/>
  <c r="K37" i="11" l="1"/>
  <c r="L37" i="11"/>
  <c r="M37" i="11" l="1"/>
  <c r="N37" i="11" s="1"/>
  <c r="J38" i="11" s="1"/>
  <c r="J114" i="2" l="1"/>
  <c r="J116" i="2" s="1"/>
  <c r="L38" i="11"/>
  <c r="K38" i="11"/>
  <c r="M38" i="11" s="1"/>
  <c r="N38" i="11" s="1"/>
  <c r="J39" i="11" s="1"/>
  <c r="G28" i="9" l="1"/>
  <c r="L39" i="11"/>
  <c r="K39" i="11"/>
  <c r="M39" i="11" l="1"/>
  <c r="N39" i="11" s="1"/>
  <c r="J40" i="11" s="1"/>
  <c r="L40" i="11" s="1"/>
  <c r="K40" i="11" l="1"/>
  <c r="M40" i="11" s="1"/>
  <c r="N40" i="11" s="1"/>
  <c r="J41" i="11" s="1"/>
  <c r="L41" i="11" s="1"/>
  <c r="K41" i="11" l="1"/>
  <c r="M41" i="11" s="1"/>
  <c r="N41" i="11" s="1"/>
  <c r="J42" i="11" s="1"/>
  <c r="L42" i="11" s="1"/>
  <c r="K42" i="11" l="1"/>
  <c r="M42" i="11" s="1"/>
  <c r="N42" i="11" s="1"/>
  <c r="J43" i="11" s="1"/>
  <c r="L43" i="11" l="1"/>
  <c r="K43" i="11"/>
  <c r="M43" i="11" s="1"/>
  <c r="N43" i="11" s="1"/>
  <c r="J44" i="11" s="1"/>
  <c r="K44" i="11" l="1"/>
  <c r="L44" i="11"/>
  <c r="M44" i="11" l="1"/>
  <c r="N44" i="11" s="1"/>
  <c r="J45" i="11" s="1"/>
  <c r="K45" i="11" s="1"/>
  <c r="L45" i="11"/>
  <c r="M45" i="11" l="1"/>
  <c r="N45" i="11" s="1"/>
  <c r="J46" i="11" s="1"/>
  <c r="L46" i="11" l="1"/>
  <c r="N114" i="2" s="1"/>
  <c r="N116" i="2" s="1"/>
  <c r="K46" i="11"/>
  <c r="M46" i="11" l="1"/>
  <c r="N46" i="11" s="1"/>
  <c r="J47" i="11" l="1"/>
  <c r="N61" i="5"/>
  <c r="K47" i="11" l="1"/>
  <c r="L47" i="11"/>
  <c r="M47" i="11" l="1"/>
  <c r="N47" i="11" s="1"/>
  <c r="J48" i="11" s="1"/>
  <c r="K114" i="2"/>
  <c r="K116" i="2" s="1"/>
  <c r="K48" i="11" l="1"/>
  <c r="L48" i="11"/>
  <c r="M48" i="11" l="1"/>
  <c r="N48" i="11" s="1"/>
  <c r="J49" i="11" s="1"/>
  <c r="L49" i="11" s="1"/>
  <c r="H28" i="9"/>
  <c r="K49" i="11" l="1"/>
  <c r="M49" i="11" s="1"/>
  <c r="N49" i="11" s="1"/>
  <c r="J50" i="11" s="1"/>
  <c r="L50" i="11" s="1"/>
  <c r="K50" i="11" l="1"/>
  <c r="M50" i="11" s="1"/>
  <c r="N50" i="11" s="1"/>
  <c r="J51" i="11" s="1"/>
  <c r="L51" i="11" s="1"/>
  <c r="K51" i="11" l="1"/>
  <c r="M51" i="11" s="1"/>
  <c r="N51" i="11" s="1"/>
  <c r="J52" i="11" s="1"/>
  <c r="K52" i="11" l="1"/>
  <c r="L52" i="11"/>
  <c r="M52" i="11" l="1"/>
  <c r="N52" i="11" s="1"/>
  <c r="J53" i="11" s="1"/>
  <c r="K53" i="11" s="1"/>
  <c r="L53" i="11" l="1"/>
  <c r="M53" i="11" s="1"/>
  <c r="N53" i="11" s="1"/>
  <c r="J54" i="11" s="1"/>
  <c r="K54" i="11" l="1"/>
  <c r="L54" i="11"/>
  <c r="M54" i="11" l="1"/>
  <c r="N54" i="11" s="1"/>
  <c r="J55" i="11" s="1"/>
  <c r="K55" i="11" l="1"/>
  <c r="L55" i="11"/>
  <c r="M55" i="11" l="1"/>
  <c r="N55" i="11" s="1"/>
  <c r="J56" i="11" s="1"/>
  <c r="L56" i="11" l="1"/>
  <c r="K56" i="11"/>
  <c r="M56" i="11" s="1"/>
  <c r="N56" i="11" s="1"/>
  <c r="J57" i="11" s="1"/>
  <c r="K57" i="11" l="1"/>
  <c r="L57" i="11"/>
  <c r="M57" i="11" l="1"/>
  <c r="N57" i="11" s="1"/>
  <c r="J58" i="11" s="1"/>
  <c r="L114" i="2"/>
  <c r="L116" i="2" s="1"/>
  <c r="L58" i="11"/>
  <c r="O114" i="2" s="1"/>
  <c r="O116" i="2" s="1"/>
  <c r="K58" i="11"/>
  <c r="M58" i="11" l="1"/>
  <c r="N58" i="11" s="1"/>
  <c r="I28" i="9" l="1"/>
  <c r="J28" i="9"/>
  <c r="J31" i="9" s="1"/>
  <c r="J59" i="11"/>
  <c r="O61" i="5"/>
  <c r="K28" i="9" l="1"/>
  <c r="K31" i="9" s="1"/>
  <c r="K59" i="11"/>
  <c r="L59" i="11"/>
  <c r="M59" i="11" l="1"/>
  <c r="N59" i="11" s="1"/>
  <c r="J60" i="11" s="1"/>
  <c r="L60" i="11"/>
  <c r="K60" i="11"/>
  <c r="M60" i="11" s="1"/>
  <c r="N60" i="11" s="1"/>
  <c r="J61" i="11" s="1"/>
  <c r="M114" i="2" l="1"/>
  <c r="M116" i="2" s="1"/>
  <c r="K61" i="11"/>
  <c r="L61" i="11"/>
  <c r="M61" i="11" l="1"/>
  <c r="N61" i="11" s="1"/>
  <c r="J62" i="11" s="1"/>
  <c r="L62" i="11" s="1"/>
  <c r="K62" i="11" l="1"/>
  <c r="M62" i="11" s="1"/>
  <c r="N62" i="11" s="1"/>
  <c r="J63" i="11" s="1"/>
  <c r="L63" i="11" s="1"/>
  <c r="K63" i="11" l="1"/>
  <c r="M63" i="11" s="1"/>
  <c r="N63" i="11" s="1"/>
  <c r="J64" i="11" s="1"/>
  <c r="K64" i="11" s="1"/>
  <c r="L64" i="11" l="1"/>
  <c r="M64" i="11" s="1"/>
  <c r="N64" i="11" s="1"/>
  <c r="J65" i="11" s="1"/>
  <c r="L65" i="11" s="1"/>
  <c r="K65" i="11" l="1"/>
  <c r="M65" i="11" s="1"/>
  <c r="N65" i="11" s="1"/>
  <c r="J66" i="11" s="1"/>
  <c r="L66" i="11" s="1"/>
  <c r="K66" i="11" l="1"/>
  <c r="M66" i="11" s="1"/>
  <c r="N66" i="11" s="1"/>
  <c r="J67" i="11" s="1"/>
  <c r="K67" i="11" s="1"/>
  <c r="L67" i="11" l="1"/>
  <c r="M67" i="11" s="1"/>
  <c r="N67" i="11" s="1"/>
  <c r="J68" i="11" s="1"/>
  <c r="K68" i="11" s="1"/>
  <c r="L68" i="11"/>
  <c r="M68" i="11" s="1"/>
  <c r="N68" i="11" s="1"/>
  <c r="J69" i="11" s="1"/>
  <c r="K69" i="11" l="1"/>
  <c r="M69" i="11" s="1"/>
  <c r="N69" i="11" s="1"/>
  <c r="J70" i="11" s="1"/>
  <c r="L69" i="11"/>
  <c r="L70" i="11" l="1"/>
  <c r="P114" i="2" s="1"/>
  <c r="P116" i="2" s="1"/>
  <c r="K70" i="11"/>
  <c r="M70" i="11" l="1"/>
  <c r="N70" i="11" s="1"/>
  <c r="J71" i="11" l="1"/>
  <c r="P61" i="5"/>
  <c r="L28" i="9" l="1"/>
  <c r="L31" i="9" s="1"/>
  <c r="M28" i="9"/>
  <c r="M31" i="9" s="1"/>
  <c r="N31" i="9"/>
  <c r="L71" i="11"/>
  <c r="K71" i="11"/>
  <c r="M71" i="11" s="1"/>
  <c r="N71" i="11" s="1"/>
  <c r="J72" i="11" s="1"/>
  <c r="L72" i="11" l="1"/>
  <c r="K72" i="11"/>
  <c r="M72" i="11" l="1"/>
  <c r="N72" i="11" s="1"/>
  <c r="J73" i="11" s="1"/>
  <c r="K73" i="11" s="1"/>
  <c r="L73" i="11" l="1"/>
  <c r="M73" i="11" s="1"/>
  <c r="N73" i="11" s="1"/>
  <c r="J74" i="11" s="1"/>
  <c r="L74" i="11" s="1"/>
  <c r="K74" i="11" l="1"/>
  <c r="M74" i="11" s="1"/>
  <c r="N74" i="11" s="1"/>
  <c r="J75" i="11" s="1"/>
  <c r="L75" i="11" s="1"/>
  <c r="K75" i="11" l="1"/>
  <c r="M75" i="11" s="1"/>
  <c r="N75" i="11" s="1"/>
  <c r="J76" i="11" s="1"/>
  <c r="L76" i="11" s="1"/>
  <c r="K76" i="11" l="1"/>
  <c r="M76" i="11" s="1"/>
  <c r="N76" i="11" s="1"/>
  <c r="J77" i="11" s="1"/>
  <c r="K77" i="11" s="1"/>
  <c r="L77" i="11" l="1"/>
  <c r="M77" i="11" s="1"/>
  <c r="N77" i="11" s="1"/>
  <c r="J78" i="11" s="1"/>
  <c r="K78" i="11" s="1"/>
  <c r="L78" i="11" l="1"/>
  <c r="M78" i="11" s="1"/>
  <c r="N78" i="11" s="1"/>
  <c r="J79" i="11" s="1"/>
  <c r="L79" i="11" l="1"/>
  <c r="K79" i="11"/>
  <c r="M79" i="11" s="1"/>
  <c r="N79" i="11" s="1"/>
  <c r="J80" i="11" s="1"/>
  <c r="L80" i="11"/>
  <c r="K80" i="11"/>
  <c r="M80" i="11" s="1"/>
  <c r="N80" i="11" s="1"/>
  <c r="J81" i="11" s="1"/>
  <c r="K81" i="11" l="1"/>
  <c r="L81" i="11"/>
  <c r="M81" i="11" l="1"/>
  <c r="N81" i="11" s="1"/>
  <c r="J82" i="11" s="1"/>
  <c r="L82" i="11" l="1"/>
  <c r="K82" i="11"/>
  <c r="M82" i="11" s="1"/>
  <c r="N82" i="11" s="1"/>
  <c r="J83" i="11" s="1"/>
  <c r="L83" i="11" l="1"/>
  <c r="K83" i="11"/>
  <c r="M83" i="11" s="1"/>
  <c r="N83" i="11" s="1"/>
  <c r="J84" i="11" s="1"/>
  <c r="L84" i="11" l="1"/>
  <c r="K84" i="11"/>
  <c r="M84" i="11" s="1"/>
  <c r="N84" i="11" s="1"/>
  <c r="J85" i="11" s="1"/>
  <c r="K85" i="11" l="1"/>
  <c r="L85" i="11"/>
  <c r="M85" i="11" l="1"/>
  <c r="N85" i="11" s="1"/>
  <c r="J86" i="11" s="1"/>
  <c r="L86" i="11" s="1"/>
  <c r="K86" i="11"/>
  <c r="M86" i="11" l="1"/>
  <c r="N86" i="11" s="1"/>
  <c r="J87" i="11" s="1"/>
  <c r="K87" i="11" s="1"/>
  <c r="L87" i="11"/>
  <c r="M87" i="11" l="1"/>
  <c r="N87" i="11" s="1"/>
  <c r="J88" i="11" s="1"/>
  <c r="L88" i="11"/>
  <c r="K88" i="11"/>
  <c r="M88" i="11" l="1"/>
  <c r="N88" i="11" s="1"/>
  <c r="J89" i="11" s="1"/>
  <c r="L89" i="11" l="1"/>
  <c r="K89" i="11"/>
  <c r="M89" i="11" s="1"/>
  <c r="N89" i="11" s="1"/>
  <c r="J90" i="11" s="1"/>
  <c r="K90" i="11" l="1"/>
  <c r="L90" i="11"/>
  <c r="M90" i="11" l="1"/>
  <c r="N90" i="11" s="1"/>
  <c r="J91" i="11" s="1"/>
  <c r="L91" i="11" s="1"/>
  <c r="K91" i="11"/>
  <c r="M91" i="11" l="1"/>
  <c r="N91" i="11" s="1"/>
  <c r="J92" i="11" s="1"/>
  <c r="L92" i="11"/>
  <c r="K92" i="11"/>
  <c r="M92" i="11" l="1"/>
  <c r="N92" i="11" s="1"/>
  <c r="J93" i="11" s="1"/>
  <c r="L93" i="11" l="1"/>
  <c r="K93" i="11"/>
  <c r="M93" i="11" l="1"/>
  <c r="N93" i="11" s="1"/>
  <c r="J94" i="11" s="1"/>
  <c r="K94" i="11" l="1"/>
  <c r="L94" i="11"/>
  <c r="M94" i="11" s="1"/>
  <c r="N94" i="11" s="1"/>
  <c r="J95" i="11" s="1"/>
  <c r="K95" i="11" l="1"/>
  <c r="L95" i="11"/>
  <c r="M95" i="11" s="1"/>
  <c r="N95" i="11" s="1"/>
  <c r="J96" i="11" s="1"/>
  <c r="K96" i="11" l="1"/>
  <c r="L96" i="11"/>
  <c r="M96" i="11" l="1"/>
  <c r="N96" i="11" s="1"/>
  <c r="J97" i="11" s="1"/>
  <c r="L97" i="11" l="1"/>
  <c r="K97" i="11"/>
  <c r="M97" i="11" l="1"/>
  <c r="N97" i="11" s="1"/>
  <c r="J98" i="11" s="1"/>
  <c r="K98" i="11" l="1"/>
  <c r="L98" i="11"/>
  <c r="M98" i="11" l="1"/>
  <c r="N98" i="11" s="1"/>
  <c r="J99" i="11" s="1"/>
  <c r="L99" i="11" l="1"/>
  <c r="K99" i="11"/>
  <c r="M99" i="11" l="1"/>
  <c r="N99" i="11" s="1"/>
  <c r="J100" i="11" s="1"/>
  <c r="L100" i="11" s="1"/>
  <c r="K100" i="11" l="1"/>
  <c r="M100" i="11" s="1"/>
  <c r="N100" i="11" s="1"/>
  <c r="J101" i="11" s="1"/>
  <c r="K101" i="11" l="1"/>
  <c r="L101" i="11"/>
  <c r="M101" i="11" s="1"/>
  <c r="N101" i="11" s="1"/>
  <c r="J102" i="11" s="1"/>
  <c r="K102" i="11" l="1"/>
  <c r="L102" i="11"/>
  <c r="M102" i="11" l="1"/>
  <c r="N102" i="11" s="1"/>
  <c r="J103" i="11" s="1"/>
  <c r="L103" i="11" l="1"/>
  <c r="K103" i="11"/>
  <c r="M103" i="11" l="1"/>
  <c r="N103" i="11" s="1"/>
  <c r="J104" i="11" s="1"/>
  <c r="K104" i="11"/>
  <c r="L104" i="11"/>
  <c r="M104" i="11" l="1"/>
  <c r="N104" i="11" s="1"/>
  <c r="J105" i="11" s="1"/>
  <c r="L105" i="11" l="1"/>
  <c r="K105" i="11"/>
  <c r="M105" i="11" s="1"/>
  <c r="N105" i="11" s="1"/>
  <c r="J106" i="11" s="1"/>
  <c r="L106" i="11" l="1"/>
  <c r="K106" i="11"/>
  <c r="M106" i="11" l="1"/>
  <c r="N106" i="11" s="1"/>
  <c r="J107" i="11" s="1"/>
  <c r="L107" i="11"/>
  <c r="K107" i="11"/>
  <c r="M107" i="11" l="1"/>
  <c r="N107" i="11" s="1"/>
  <c r="J108" i="11" s="1"/>
  <c r="K108" i="11" l="1"/>
  <c r="L108" i="11"/>
  <c r="M108" i="11" l="1"/>
  <c r="N108" i="11" s="1"/>
  <c r="J109" i="11" s="1"/>
  <c r="K109" i="11" s="1"/>
  <c r="L109" i="11" l="1"/>
  <c r="M109" i="11" s="1"/>
  <c r="N109" i="11" s="1"/>
  <c r="J110" i="11" s="1"/>
  <c r="K110" i="11" l="1"/>
  <c r="L110" i="11"/>
  <c r="M110" i="11" l="1"/>
  <c r="N110" i="11" s="1"/>
  <c r="J111" i="11" s="1"/>
  <c r="K111" i="11" l="1"/>
  <c r="L111" i="11"/>
  <c r="M111" i="11" l="1"/>
  <c r="N111" i="11" s="1"/>
  <c r="J112" i="11" s="1"/>
  <c r="L112" i="11" l="1"/>
  <c r="K112" i="11"/>
  <c r="M112" i="11" l="1"/>
  <c r="N112" i="11" s="1"/>
  <c r="J113" i="11" s="1"/>
  <c r="K113" i="11" s="1"/>
  <c r="L113" i="11" l="1"/>
  <c r="M113" i="11" s="1"/>
  <c r="N113" i="11" s="1"/>
  <c r="J114" i="11" s="1"/>
  <c r="K114" i="11" l="1"/>
  <c r="L114" i="11"/>
  <c r="M114" i="11" l="1"/>
  <c r="N114" i="11" s="1"/>
  <c r="J115" i="11" s="1"/>
  <c r="L115" i="11" l="1"/>
  <c r="K115" i="11"/>
  <c r="M115" i="11" s="1"/>
  <c r="N115" i="11" s="1"/>
  <c r="J116" i="11" s="1"/>
  <c r="K116" i="11" l="1"/>
  <c r="L116" i="11"/>
  <c r="M116" i="11" l="1"/>
  <c r="N116" i="11" s="1"/>
  <c r="J117" i="11" s="1"/>
  <c r="L117" i="11" l="1"/>
  <c r="K117" i="11"/>
  <c r="M117" i="11" s="1"/>
  <c r="N117" i="11" s="1"/>
  <c r="J118" i="11" s="1"/>
  <c r="K118" i="11" l="1"/>
  <c r="L118" i="11"/>
  <c r="M118" i="11" s="1"/>
  <c r="N118" i="11" s="1"/>
  <c r="J119" i="11" s="1"/>
  <c r="K119" i="11" l="1"/>
  <c r="L119" i="11"/>
  <c r="M119" i="11" l="1"/>
  <c r="N119" i="11" s="1"/>
  <c r="J120" i="11" s="1"/>
  <c r="K120" i="11"/>
  <c r="L120" i="11"/>
  <c r="M120" i="11" l="1"/>
  <c r="N120" i="11" s="1"/>
  <c r="J121" i="11" s="1"/>
  <c r="L121" i="11" l="1"/>
  <c r="K121" i="11"/>
  <c r="M121" i="11" s="1"/>
  <c r="N121" i="11" s="1"/>
  <c r="J122" i="11" s="1"/>
  <c r="L122" i="11" s="1"/>
  <c r="K122" i="11" l="1"/>
  <c r="M122" i="11" s="1"/>
  <c r="N122" i="11" s="1"/>
  <c r="J123" i="11" s="1"/>
  <c r="L123" i="11" s="1"/>
  <c r="K123" i="11" l="1"/>
  <c r="M123" i="11" s="1"/>
  <c r="N123" i="11" s="1"/>
  <c r="J124" i="11" s="1"/>
  <c r="K124" i="11" s="1"/>
  <c r="L124" i="11" l="1"/>
  <c r="M124" i="11" s="1"/>
  <c r="N124" i="11" s="1"/>
  <c r="J125" i="11" s="1"/>
  <c r="K125" i="11" l="1"/>
  <c r="L125" i="11"/>
  <c r="M125" i="11" l="1"/>
  <c r="N125" i="11" s="1"/>
  <c r="J126" i="11" s="1"/>
  <c r="K126" i="11" l="1"/>
  <c r="L126" i="11"/>
  <c r="M126" i="11" l="1"/>
  <c r="N126" i="11" s="1"/>
  <c r="J127" i="11" s="1"/>
  <c r="K127" i="11" l="1"/>
  <c r="L127" i="11"/>
  <c r="M127" i="11" l="1"/>
  <c r="N127" i="11" s="1"/>
  <c r="J128" i="11" s="1"/>
  <c r="L128" i="11" l="1"/>
  <c r="K128" i="11"/>
  <c r="M128" i="11" l="1"/>
  <c r="N128" i="11" s="1"/>
  <c r="J129" i="11" s="1"/>
  <c r="L129" i="11" s="1"/>
  <c r="K129" i="11" l="1"/>
  <c r="M129" i="11" s="1"/>
  <c r="N129" i="11" s="1"/>
  <c r="J130" i="11" s="1"/>
  <c r="L130" i="11" s="1"/>
  <c r="K130" i="11" l="1"/>
  <c r="M130" i="11" s="1"/>
  <c r="N130" i="11" s="1"/>
  <c r="J131" i="11" s="1"/>
  <c r="L131" i="11" s="1"/>
  <c r="K131" i="11" l="1"/>
  <c r="M131" i="11" s="1"/>
  <c r="N131" i="11" s="1"/>
  <c r="J132" i="11" s="1"/>
  <c r="L132" i="11" s="1"/>
  <c r="K132" i="11" l="1"/>
  <c r="M132" i="11" s="1"/>
  <c r="N132" i="11" s="1"/>
  <c r="J133" i="11" s="1"/>
  <c r="L133" i="11" l="1"/>
  <c r="K133" i="11"/>
  <c r="M133" i="11" s="1"/>
  <c r="N133" i="11" s="1"/>
  <c r="J134" i="11" s="1"/>
  <c r="K134" i="11" l="1"/>
  <c r="L134" i="11"/>
  <c r="M134" i="11" l="1"/>
  <c r="N134" i="11" s="1"/>
  <c r="J135" i="11" s="1"/>
  <c r="L135" i="11" l="1"/>
  <c r="K135" i="11"/>
  <c r="M135" i="11" l="1"/>
  <c r="N135" i="11" s="1"/>
  <c r="J136" i="11" s="1"/>
  <c r="L136" i="11" s="1"/>
  <c r="K136" i="11" l="1"/>
  <c r="M136" i="11" s="1"/>
  <c r="N136" i="11" s="1"/>
  <c r="J137" i="11" s="1"/>
  <c r="K137" i="11" l="1"/>
  <c r="L137" i="11"/>
  <c r="M137" i="11" l="1"/>
  <c r="N137" i="11" s="1"/>
  <c r="J138" i="11" s="1"/>
  <c r="L138" i="11" s="1"/>
  <c r="K138" i="11"/>
  <c r="M138" i="11" l="1"/>
  <c r="N138" i="11" s="1"/>
  <c r="J139" i="11" s="1"/>
  <c r="L139" i="11" s="1"/>
  <c r="K139" i="11" l="1"/>
  <c r="M139" i="11" s="1"/>
  <c r="N139" i="11" s="1"/>
  <c r="J140" i="11" s="1"/>
  <c r="L140" i="11" s="1"/>
  <c r="K140" i="11" l="1"/>
  <c r="M140" i="11" s="1"/>
  <c r="N140" i="11" s="1"/>
  <c r="J141" i="11" s="1"/>
  <c r="K141" i="11" s="1"/>
  <c r="L141" i="11" l="1"/>
  <c r="M141" i="11" s="1"/>
  <c r="N141" i="11" s="1"/>
  <c r="J142" i="11" s="1"/>
  <c r="L142" i="11" s="1"/>
  <c r="K142" i="11" l="1"/>
  <c r="M142" i="11" s="1"/>
  <c r="N142" i="11" s="1"/>
  <c r="J143" i="11" s="1"/>
  <c r="K143" i="11" s="1"/>
  <c r="L143" i="11" l="1"/>
  <c r="M143" i="11" s="1"/>
  <c r="N143" i="11" s="1"/>
  <c r="J144" i="11" s="1"/>
  <c r="L144" i="11" s="1"/>
  <c r="K144" i="11" l="1"/>
  <c r="M144" i="11" s="1"/>
  <c r="N144" i="11" s="1"/>
  <c r="J145" i="11" s="1"/>
  <c r="K145" i="11" l="1"/>
  <c r="L145" i="11"/>
  <c r="M145" i="11" l="1"/>
  <c r="N145" i="11" s="1"/>
  <c r="J146" i="11" s="1"/>
  <c r="L146" i="11" s="1"/>
  <c r="K146" i="11"/>
  <c r="M146" i="11" l="1"/>
  <c r="N146" i="11" s="1"/>
  <c r="J147" i="11" s="1"/>
  <c r="L147" i="11" l="1"/>
  <c r="K147" i="11"/>
  <c r="M147" i="11" l="1"/>
  <c r="N147" i="11" s="1"/>
  <c r="J148" i="11" s="1"/>
  <c r="L148" i="11" s="1"/>
  <c r="K148" i="11" l="1"/>
  <c r="M148" i="11" s="1"/>
  <c r="N148" i="11" s="1"/>
  <c r="J149" i="11" s="1"/>
  <c r="L149" i="11" l="1"/>
  <c r="K149" i="11"/>
  <c r="M149" i="11" l="1"/>
  <c r="N149" i="11" s="1"/>
  <c r="J150" i="11" s="1"/>
  <c r="K150" i="11" l="1"/>
  <c r="L150" i="11"/>
  <c r="M150" i="11" l="1"/>
  <c r="N150" i="11" s="1"/>
  <c r="J151" i="11" s="1"/>
  <c r="L151" i="11" l="1"/>
  <c r="K151" i="11"/>
  <c r="M151" i="11" l="1"/>
  <c r="N151" i="11" s="1"/>
  <c r="J152" i="11" s="1"/>
  <c r="L152" i="11" s="1"/>
  <c r="K152" i="11" l="1"/>
  <c r="M152" i="11" s="1"/>
  <c r="N152" i="11" s="1"/>
  <c r="J153" i="11" s="1"/>
  <c r="K153" i="11" s="1"/>
  <c r="L153" i="11" l="1"/>
  <c r="M153" i="11" s="1"/>
  <c r="N153" i="11" s="1"/>
  <c r="J154" i="11" s="1"/>
  <c r="L154" i="11" l="1"/>
  <c r="K154" i="11"/>
  <c r="M154" i="11" l="1"/>
  <c r="N154" i="11" s="1"/>
  <c r="J155" i="11" s="1"/>
  <c r="L155" i="11" s="1"/>
  <c r="K155" i="11" l="1"/>
  <c r="M155" i="11" s="1"/>
  <c r="N155" i="11" s="1"/>
  <c r="J156" i="11" s="1"/>
  <c r="L156" i="11" s="1"/>
  <c r="K156" i="11" l="1"/>
  <c r="M156" i="11" s="1"/>
  <c r="N156" i="11" s="1"/>
  <c r="J157" i="11" s="1"/>
  <c r="L157" i="11" s="1"/>
  <c r="K157" i="11" l="1"/>
  <c r="M157" i="11" s="1"/>
  <c r="N157" i="11" s="1"/>
  <c r="J158" i="11" s="1"/>
  <c r="K158" i="11" l="1"/>
  <c r="L158" i="11"/>
  <c r="M158" i="11" l="1"/>
  <c r="N158" i="11" s="1"/>
  <c r="J159" i="11" s="1"/>
  <c r="K159" i="11" l="1"/>
  <c r="L159" i="11"/>
  <c r="M159" i="11" l="1"/>
  <c r="N159" i="11" s="1"/>
  <c r="J160" i="11" s="1"/>
  <c r="L160" i="11" l="1"/>
  <c r="K160" i="11"/>
  <c r="M160" i="11" s="1"/>
  <c r="N160" i="11" s="1"/>
  <c r="J161" i="11" s="1"/>
  <c r="K161" i="11" l="1"/>
  <c r="L161" i="11"/>
  <c r="M161" i="11" l="1"/>
  <c r="N161" i="11" s="1"/>
  <c r="J162" i="11" s="1"/>
  <c r="K162" i="11" s="1"/>
  <c r="L162" i="11" l="1"/>
  <c r="M162" i="11" s="1"/>
  <c r="N162" i="11" s="1"/>
  <c r="J163" i="11" s="1"/>
  <c r="K163" i="11" l="1"/>
  <c r="L163" i="11"/>
  <c r="M163" i="11" l="1"/>
  <c r="N163" i="11" s="1"/>
  <c r="J164" i="11" s="1"/>
  <c r="L164" i="11" l="1"/>
  <c r="K164" i="11"/>
  <c r="M164" i="11" l="1"/>
  <c r="N164" i="11" s="1"/>
  <c r="J165" i="11" s="1"/>
  <c r="L165" i="11" s="1"/>
  <c r="K165" i="11"/>
  <c r="M165" i="11" l="1"/>
  <c r="N165" i="11" s="1"/>
  <c r="J166" i="11" s="1"/>
  <c r="L166" i="11" l="1"/>
  <c r="K166" i="11"/>
  <c r="M166" i="11" l="1"/>
  <c r="N166" i="11" s="1"/>
  <c r="J167" i="11" s="1"/>
  <c r="L167" i="11" s="1"/>
  <c r="K167" i="11" l="1"/>
  <c r="M167" i="11" s="1"/>
  <c r="N167" i="11" s="1"/>
  <c r="J168" i="11" s="1"/>
  <c r="L168" i="11" s="1"/>
  <c r="K168" i="11" l="1"/>
  <c r="M168" i="11" s="1"/>
  <c r="N168" i="11" s="1"/>
  <c r="J169" i="11" s="1"/>
  <c r="K169" i="11" s="1"/>
  <c r="L169" i="11" l="1"/>
  <c r="M169" i="11" s="1"/>
  <c r="N169" i="11" s="1"/>
  <c r="J170" i="11" s="1"/>
  <c r="L170" i="11" l="1"/>
  <c r="K170" i="11"/>
  <c r="M170" i="11" l="1"/>
  <c r="N170" i="11" s="1"/>
  <c r="J171" i="11" s="1"/>
  <c r="K171" i="11" s="1"/>
  <c r="L171" i="11" l="1"/>
  <c r="M171" i="11" s="1"/>
  <c r="N171" i="11" s="1"/>
  <c r="J172" i="11" s="1"/>
  <c r="L172" i="11" l="1"/>
  <c r="K172" i="11"/>
  <c r="M172" i="11" l="1"/>
  <c r="N172" i="11" s="1"/>
  <c r="J173" i="11" s="1"/>
  <c r="L173" i="11" s="1"/>
  <c r="K173" i="11" l="1"/>
  <c r="M173" i="11" s="1"/>
  <c r="N173" i="11" s="1"/>
  <c r="J174" i="11" s="1"/>
  <c r="K174" i="11" s="1"/>
  <c r="L174" i="11" l="1"/>
  <c r="M174" i="11" s="1"/>
  <c r="N174" i="11" s="1"/>
  <c r="J175" i="11" s="1"/>
  <c r="K175" i="11" l="1"/>
  <c r="L175" i="11"/>
  <c r="M175" i="11" l="1"/>
  <c r="N175" i="11" s="1"/>
  <c r="J176" i="11" s="1"/>
  <c r="K176" i="11" s="1"/>
  <c r="L176" i="11" l="1"/>
  <c r="M176" i="11" s="1"/>
  <c r="N176" i="11" s="1"/>
  <c r="J177" i="11" s="1"/>
  <c r="L177" i="11" s="1"/>
  <c r="K177" i="11" l="1"/>
  <c r="M177" i="11" s="1"/>
  <c r="N177" i="11" s="1"/>
  <c r="J178" i="11" s="1"/>
  <c r="K178" i="11" s="1"/>
  <c r="L178" i="11" l="1"/>
  <c r="M178" i="11" s="1"/>
  <c r="N178" i="11" s="1"/>
  <c r="J179" i="11" s="1"/>
  <c r="L179" i="11" l="1"/>
  <c r="K179" i="11"/>
  <c r="M179" i="11" l="1"/>
  <c r="N179" i="11" s="1"/>
  <c r="J180" i="11" s="1"/>
  <c r="K180" i="11" s="1"/>
  <c r="L180" i="11" l="1"/>
  <c r="M180" i="11" s="1"/>
  <c r="N180" i="11" s="1"/>
  <c r="J181" i="11" s="1"/>
  <c r="K181" i="11" l="1"/>
  <c r="L181" i="11"/>
  <c r="M181" i="11" l="1"/>
  <c r="N181" i="11" s="1"/>
  <c r="J182" i="11" s="1"/>
  <c r="K182" i="11" l="1"/>
  <c r="L182" i="11"/>
  <c r="M182" i="11" l="1"/>
  <c r="N182" i="11" s="1"/>
  <c r="J183" i="11" s="1"/>
  <c r="L183" i="11" l="1"/>
  <c r="K183" i="11"/>
  <c r="M183" i="11" l="1"/>
  <c r="N183" i="11" s="1"/>
  <c r="J184" i="11" s="1"/>
  <c r="K184" i="11" s="1"/>
  <c r="L184" i="11" l="1"/>
  <c r="M184" i="11" s="1"/>
  <c r="N184" i="11" s="1"/>
  <c r="J185" i="11" s="1"/>
  <c r="L185" i="11" s="1"/>
  <c r="K185" i="11" l="1"/>
  <c r="M185" i="11" s="1"/>
  <c r="N185" i="11" s="1"/>
  <c r="J186" i="11" s="1"/>
  <c r="L186" i="11" l="1"/>
  <c r="K186" i="11"/>
  <c r="M186" i="11" l="1"/>
  <c r="N186" i="11" s="1"/>
  <c r="J187" i="11" s="1"/>
  <c r="L187" i="11" s="1"/>
  <c r="K187" i="11" l="1"/>
  <c r="M187" i="11" s="1"/>
  <c r="N187" i="11" s="1"/>
  <c r="J188" i="11" s="1"/>
  <c r="L188" i="11" l="1"/>
  <c r="K188" i="11"/>
  <c r="M188" i="11" l="1"/>
  <c r="N188" i="11" s="1"/>
  <c r="J189" i="11" s="1"/>
  <c r="L189" i="11" s="1"/>
  <c r="K189" i="11" l="1"/>
  <c r="M189" i="11" s="1"/>
  <c r="N189" i="11" s="1"/>
  <c r="J190" i="11" s="1"/>
  <c r="K190" i="11" s="1"/>
  <c r="L190" i="11" l="1"/>
  <c r="M190" i="11" s="1"/>
  <c r="N190" i="11" s="1"/>
  <c r="J191" i="11" s="1"/>
  <c r="L191" i="11" l="1"/>
  <c r="K191" i="11"/>
  <c r="M191" i="11" l="1"/>
  <c r="N191" i="11" s="1"/>
  <c r="J192" i="11" s="1"/>
  <c r="K192" i="11" s="1"/>
  <c r="L192" i="11" l="1"/>
  <c r="M192" i="11" s="1"/>
  <c r="N192" i="11" s="1"/>
  <c r="J193" i="11" s="1"/>
  <c r="K193" i="11" l="1"/>
  <c r="L193" i="11"/>
  <c r="M193" i="11" l="1"/>
  <c r="N193" i="11" s="1"/>
  <c r="J194" i="11" s="1"/>
  <c r="L194" i="11" l="1"/>
  <c r="K194" i="11"/>
  <c r="M194" i="11" s="1"/>
  <c r="N194" i="11" s="1"/>
  <c r="J195" i="11" s="1"/>
  <c r="L195" i="11" l="1"/>
  <c r="K195" i="11"/>
  <c r="M195" i="11" l="1"/>
  <c r="N195" i="11" s="1"/>
  <c r="J196" i="11" s="1"/>
  <c r="K196" i="11" s="1"/>
  <c r="L196" i="11" l="1"/>
  <c r="M196" i="11" s="1"/>
  <c r="N196" i="11" s="1"/>
  <c r="J197" i="11" s="1"/>
  <c r="L197" i="11" s="1"/>
  <c r="K197" i="11" l="1"/>
  <c r="M197" i="11" s="1"/>
  <c r="N197" i="11" s="1"/>
  <c r="J198" i="11" s="1"/>
  <c r="L198" i="11" s="1"/>
  <c r="K198" i="11" l="1"/>
  <c r="M198" i="11" s="1"/>
  <c r="N198" i="11" s="1"/>
  <c r="J199" i="11" s="1"/>
  <c r="L199" i="11" s="1"/>
  <c r="K199" i="11" l="1"/>
  <c r="M199" i="11" s="1"/>
  <c r="N199" i="11" s="1"/>
  <c r="J200" i="11" s="1"/>
  <c r="L200" i="11" s="1"/>
  <c r="K200" i="11" l="1"/>
  <c r="M200" i="11" s="1"/>
  <c r="N200" i="11" s="1"/>
  <c r="J201" i="11" s="1"/>
  <c r="L201" i="11" s="1"/>
  <c r="K201" i="11" l="1"/>
  <c r="M201" i="11" s="1"/>
  <c r="N201" i="11" s="1"/>
  <c r="J202" i="11" s="1"/>
  <c r="L202" i="11" s="1"/>
  <c r="K202" i="11" l="1"/>
  <c r="M202" i="11" s="1"/>
  <c r="N202" i="11" s="1"/>
  <c r="J203" i="11" s="1"/>
  <c r="L203" i="11" s="1"/>
  <c r="K203" i="11" l="1"/>
  <c r="M203" i="11" s="1"/>
  <c r="N203" i="11" s="1"/>
  <c r="J204" i="11" s="1"/>
  <c r="K204" i="11" l="1"/>
  <c r="L204" i="11"/>
  <c r="M204" i="11" l="1"/>
  <c r="N204" i="11" s="1"/>
  <c r="J205" i="11" s="1"/>
  <c r="K205" i="11" l="1"/>
  <c r="L205" i="11"/>
  <c r="M205" i="11" l="1"/>
  <c r="N205" i="11" s="1"/>
  <c r="J206" i="11" s="1"/>
  <c r="L206" i="11" l="1"/>
  <c r="K206" i="11"/>
  <c r="M206" i="11" l="1"/>
  <c r="N206" i="11" s="1"/>
  <c r="J207" i="11" s="1"/>
  <c r="L207" i="11" l="1"/>
  <c r="K207" i="11"/>
  <c r="M207" i="11" l="1"/>
  <c r="N207" i="11" s="1"/>
  <c r="J208" i="11" s="1"/>
  <c r="L208" i="11" s="1"/>
  <c r="K208" i="11"/>
  <c r="M208" i="11" l="1"/>
  <c r="N208" i="11" s="1"/>
  <c r="J209" i="11" s="1"/>
  <c r="L209" i="11" s="1"/>
  <c r="K209" i="11" l="1"/>
  <c r="M209" i="11" s="1"/>
  <c r="N209" i="11" s="1"/>
  <c r="J210" i="11" s="1"/>
  <c r="K210" i="11" l="1"/>
  <c r="L210" i="11"/>
  <c r="M210" i="11" l="1"/>
  <c r="N210" i="11" s="1"/>
  <c r="J211" i="11" s="1"/>
  <c r="K211" i="11" l="1"/>
  <c r="L211" i="11"/>
  <c r="M211" i="11" l="1"/>
  <c r="N211" i="11" s="1"/>
  <c r="J212" i="11" s="1"/>
  <c r="K212" i="11" l="1"/>
  <c r="L212" i="11"/>
  <c r="M212" i="11" l="1"/>
  <c r="N212" i="11" s="1"/>
  <c r="J213" i="11" s="1"/>
  <c r="K213" i="11" l="1"/>
  <c r="L213" i="11"/>
  <c r="M213" i="11" l="1"/>
  <c r="N213" i="11" s="1"/>
  <c r="J214" i="11" s="1"/>
  <c r="L214" i="11" l="1"/>
  <c r="K214" i="11"/>
  <c r="M214" i="11" s="1"/>
  <c r="N214" i="11" s="1"/>
  <c r="J215" i="11" s="1"/>
  <c r="L215" i="11" l="1"/>
  <c r="K215" i="11"/>
  <c r="M215" i="11" l="1"/>
  <c r="N215" i="11" s="1"/>
  <c r="J216" i="11" s="1"/>
  <c r="L216" i="11" s="1"/>
  <c r="K216" i="11" l="1"/>
  <c r="M216" i="11" s="1"/>
  <c r="N216" i="11" s="1"/>
  <c r="J217" i="11" s="1"/>
  <c r="L217" i="11" l="1"/>
  <c r="K217" i="11"/>
  <c r="M217" i="11" l="1"/>
  <c r="N217" i="11" s="1"/>
  <c r="J218" i="11" s="1"/>
  <c r="K218" i="11" s="1"/>
  <c r="L218" i="11" l="1"/>
  <c r="M218" i="11" s="1"/>
  <c r="N218" i="11" s="1"/>
  <c r="J219" i="11" s="1"/>
  <c r="L219" i="11" l="1"/>
  <c r="K219" i="11"/>
  <c r="M219" i="11" l="1"/>
  <c r="N219" i="11" s="1"/>
  <c r="J220" i="11" s="1"/>
  <c r="L220" i="11" s="1"/>
  <c r="K220" i="11" l="1"/>
  <c r="M220" i="11" s="1"/>
  <c r="N220" i="11" s="1"/>
  <c r="J221" i="11" s="1"/>
  <c r="K221" i="11" l="1"/>
  <c r="L221" i="11"/>
  <c r="M221" i="11" l="1"/>
  <c r="N221" i="11" s="1"/>
  <c r="J222" i="11" s="1"/>
  <c r="K222" i="11" l="1"/>
  <c r="L222" i="11"/>
  <c r="M222" i="11" l="1"/>
  <c r="N222" i="11" s="1"/>
  <c r="J223" i="11" s="1"/>
  <c r="L223" i="11" l="1"/>
  <c r="K223" i="11"/>
  <c r="M223" i="11" s="1"/>
  <c r="N223" i="11" s="1"/>
  <c r="J224" i="11" s="1"/>
  <c r="L224" i="11" l="1"/>
  <c r="K224" i="11"/>
  <c r="M224" i="11" l="1"/>
  <c r="N224" i="11" s="1"/>
  <c r="J225" i="11" s="1"/>
  <c r="K225" i="11" s="1"/>
  <c r="L225" i="11" l="1"/>
  <c r="M225" i="11" s="1"/>
  <c r="N225" i="11" s="1"/>
  <c r="J226" i="11" s="1"/>
  <c r="L226" i="11" l="1"/>
  <c r="K226" i="11"/>
  <c r="M226" i="11" l="1"/>
  <c r="N226" i="11" s="1"/>
  <c r="J227" i="11" s="1"/>
  <c r="L227" i="11" s="1"/>
  <c r="K227" i="11" l="1"/>
  <c r="M227" i="11" s="1"/>
  <c r="N227" i="11" s="1"/>
  <c r="J228" i="11" s="1"/>
  <c r="L228" i="11" s="1"/>
  <c r="K228" i="11" l="1"/>
  <c r="M228" i="11" s="1"/>
  <c r="N228" i="11" s="1"/>
  <c r="J229" i="11" s="1"/>
  <c r="K229" i="11" l="1"/>
  <c r="L229" i="11"/>
  <c r="M229" i="11" l="1"/>
  <c r="N229" i="11" s="1"/>
  <c r="J230" i="11" s="1"/>
  <c r="K230" i="11" l="1"/>
  <c r="L230" i="11"/>
  <c r="M230" i="11" l="1"/>
  <c r="N230" i="11" s="1"/>
  <c r="J231" i="11" s="1"/>
  <c r="L231" i="11" l="1"/>
  <c r="K231" i="11"/>
  <c r="M231" i="11" l="1"/>
  <c r="N231" i="11" s="1"/>
  <c r="J232" i="11" s="1"/>
  <c r="K232" i="11" s="1"/>
  <c r="L232" i="11" l="1"/>
  <c r="M232" i="11" s="1"/>
  <c r="N232" i="11" s="1"/>
  <c r="J233" i="11" s="1"/>
  <c r="L233" i="11" l="1"/>
  <c r="K233" i="11"/>
  <c r="M233" i="11" l="1"/>
  <c r="N233" i="11" s="1"/>
  <c r="J234" i="11" s="1"/>
  <c r="L234" i="11" s="1"/>
  <c r="K234" i="11" l="1"/>
  <c r="M234" i="11" s="1"/>
  <c r="N234" i="11" s="1"/>
  <c r="J235" i="11" s="1"/>
  <c r="K235" i="11" s="1"/>
  <c r="L235" i="11" l="1"/>
  <c r="M235" i="11" s="1"/>
  <c r="N235" i="11" s="1"/>
  <c r="J236" i="11" s="1"/>
  <c r="K236" i="11" l="1"/>
  <c r="L236" i="11"/>
  <c r="M236" i="11" l="1"/>
  <c r="N236" i="11" s="1"/>
  <c r="J237" i="11" s="1"/>
  <c r="K237" i="11" s="1"/>
  <c r="L237" i="11" l="1"/>
  <c r="M237" i="11" s="1"/>
  <c r="N237" i="11" s="1"/>
  <c r="J238" i="11" s="1"/>
  <c r="K238" i="11" l="1"/>
  <c r="L238" i="11"/>
  <c r="M238" i="11" l="1"/>
  <c r="N238" i="11" s="1"/>
  <c r="J239" i="11" s="1"/>
  <c r="K239" i="11" l="1"/>
  <c r="L239" i="11"/>
  <c r="M239" i="11" l="1"/>
  <c r="N239" i="11" s="1"/>
  <c r="J240" i="11" s="1"/>
  <c r="K240" i="11" l="1"/>
  <c r="L240" i="11"/>
  <c r="M240" i="11" l="1"/>
  <c r="N240" i="11" s="1"/>
  <c r="J241" i="11" s="1"/>
  <c r="K241" i="11" l="1"/>
  <c r="L241" i="11"/>
  <c r="M241" i="11" l="1"/>
  <c r="N241" i="11" s="1"/>
  <c r="J242" i="11" s="1"/>
  <c r="L242" i="11" l="1"/>
  <c r="K242" i="11"/>
  <c r="M242" i="11" s="1"/>
  <c r="N242" i="11" s="1"/>
  <c r="J243" i="11" s="1"/>
  <c r="L243" i="11" l="1"/>
  <c r="K243" i="11"/>
  <c r="M243" i="11" l="1"/>
  <c r="N243" i="11" s="1"/>
  <c r="J244" i="11" s="1"/>
  <c r="L244" i="11" s="1"/>
  <c r="K244" i="11" l="1"/>
  <c r="M244" i="11" s="1"/>
  <c r="N244" i="11" s="1"/>
  <c r="J245" i="11" s="1"/>
  <c r="L245" i="11" l="1"/>
  <c r="K245" i="11"/>
  <c r="M245" i="11" l="1"/>
  <c r="N245" i="11" s="1"/>
  <c r="J246" i="11" s="1"/>
  <c r="L246" i="11" s="1"/>
  <c r="K246" i="11" l="1"/>
  <c r="M246" i="11" s="1"/>
  <c r="N246" i="11" s="1"/>
  <c r="J247" i="11" s="1"/>
  <c r="L247" i="11" s="1"/>
  <c r="K247" i="11" l="1"/>
  <c r="M247" i="11" s="1"/>
  <c r="N247" i="11" s="1"/>
  <c r="J248" i="11" s="1"/>
  <c r="K248" i="11" s="1"/>
  <c r="L248" i="11" l="1"/>
  <c r="M248" i="11" s="1"/>
  <c r="N248" i="11" s="1"/>
  <c r="J249" i="11" s="1"/>
  <c r="K249" i="11" l="1"/>
  <c r="L249" i="11"/>
  <c r="M249" i="11" l="1"/>
  <c r="N249" i="11" s="1"/>
  <c r="J250" i="11" s="1"/>
  <c r="L250" i="11" l="1"/>
  <c r="K250" i="11"/>
  <c r="M250" i="11" l="1"/>
  <c r="N250" i="11" s="1"/>
  <c r="J251" i="11" s="1"/>
  <c r="L251" i="11" s="1"/>
  <c r="K251" i="11" l="1"/>
  <c r="M251" i="11" s="1"/>
  <c r="N251" i="11" s="1"/>
  <c r="J252" i="11" s="1"/>
  <c r="K252" i="11" s="1"/>
  <c r="L252" i="11" l="1"/>
  <c r="M252" i="11" s="1"/>
  <c r="N252" i="11" s="1"/>
  <c r="J253" i="11" s="1"/>
  <c r="L253" i="11" l="1"/>
  <c r="K253" i="11"/>
  <c r="M253" i="11" s="1"/>
  <c r="N253" i="11" s="1"/>
  <c r="J254" i="11" s="1"/>
  <c r="K254" i="11" l="1"/>
  <c r="L254" i="11"/>
  <c r="M254" i="11" l="1"/>
  <c r="N254" i="11" s="1"/>
  <c r="J255" i="11" s="1"/>
  <c r="L255" i="11" l="1"/>
  <c r="K255" i="11"/>
  <c r="M255" i="11" l="1"/>
  <c r="N255" i="11" s="1"/>
  <c r="J256" i="11" s="1"/>
  <c r="K256" i="11" s="1"/>
  <c r="L256" i="11" l="1"/>
  <c r="M256" i="11" s="1"/>
  <c r="N256" i="11" s="1"/>
  <c r="J257" i="11" s="1"/>
  <c r="K257" i="11" l="1"/>
  <c r="L257" i="11"/>
  <c r="M257" i="11" l="1"/>
  <c r="N257" i="11" s="1"/>
  <c r="J258" i="11" s="1"/>
  <c r="L258" i="11" l="1"/>
  <c r="K258" i="11"/>
  <c r="M258" i="11" l="1"/>
  <c r="N258" i="11" s="1"/>
  <c r="J259" i="11" s="1"/>
  <c r="L259" i="11" s="1"/>
  <c r="K259" i="11" l="1"/>
  <c r="M259" i="11" s="1"/>
  <c r="N259" i="11" s="1"/>
  <c r="J260" i="11" s="1"/>
  <c r="L260" i="11" s="1"/>
  <c r="K260" i="11" l="1"/>
  <c r="M260" i="11" s="1"/>
  <c r="N260" i="11" s="1"/>
  <c r="J261" i="11" s="1"/>
  <c r="L261" i="11" s="1"/>
  <c r="K261" i="11" l="1"/>
  <c r="M261" i="11" s="1"/>
  <c r="N261" i="11" s="1"/>
  <c r="J262" i="11" s="1"/>
  <c r="K262" i="11" l="1"/>
  <c r="L262" i="11"/>
  <c r="M262" i="11" l="1"/>
  <c r="N262" i="11" s="1"/>
  <c r="J263" i="11" s="1"/>
  <c r="K263" i="11"/>
  <c r="L263" i="11"/>
  <c r="M263" i="11" l="1"/>
  <c r="N263" i="11" s="1"/>
  <c r="J264" i="11" s="1"/>
  <c r="K264" i="11" l="1"/>
  <c r="L264" i="11"/>
  <c r="M264" i="11" l="1"/>
  <c r="N264" i="11" s="1"/>
  <c r="J265" i="11" s="1"/>
  <c r="L265" i="11" l="1"/>
  <c r="K265" i="11"/>
  <c r="M265" i="11" l="1"/>
  <c r="N265" i="11" s="1"/>
  <c r="J266" i="11" s="1"/>
  <c r="L266" i="11" s="1"/>
  <c r="K266" i="11" l="1"/>
  <c r="M266" i="11" s="1"/>
  <c r="N266" i="11" s="1"/>
  <c r="J267" i="11" s="1"/>
  <c r="K267" i="11" s="1"/>
  <c r="L267" i="11" l="1"/>
  <c r="M267" i="11" s="1"/>
  <c r="N267" i="11" s="1"/>
  <c r="J268" i="11" s="1"/>
  <c r="K268" i="11" l="1"/>
  <c r="L268" i="11"/>
  <c r="M268" i="11" l="1"/>
  <c r="N268" i="11" s="1"/>
  <c r="J269" i="11" s="1"/>
  <c r="K269" i="11" l="1"/>
  <c r="L269" i="11"/>
  <c r="M269" i="11" l="1"/>
  <c r="N269" i="11" s="1"/>
  <c r="J270" i="11" s="1"/>
  <c r="L270" i="11" l="1"/>
  <c r="K270" i="11"/>
  <c r="M270" i="11" l="1"/>
  <c r="N270" i="11" s="1"/>
  <c r="J271" i="11" s="1"/>
  <c r="K271" i="11" s="1"/>
  <c r="L271" i="11" l="1"/>
  <c r="M271" i="11" s="1"/>
  <c r="N271" i="11" s="1"/>
  <c r="J272" i="11" s="1"/>
  <c r="K272" i="11" l="1"/>
  <c r="L272" i="11"/>
  <c r="M272" i="11" l="1"/>
  <c r="N272" i="11" s="1"/>
  <c r="J273" i="11" s="1"/>
  <c r="L273" i="11" l="1"/>
  <c r="K273" i="11"/>
  <c r="M273" i="11" l="1"/>
  <c r="N273" i="11" s="1"/>
  <c r="J274" i="11" s="1"/>
  <c r="L274" i="11" s="1"/>
  <c r="K274" i="11" l="1"/>
  <c r="M274" i="11" s="1"/>
  <c r="N274" i="11" s="1"/>
  <c r="J275" i="11" s="1"/>
  <c r="K275" i="11" s="1"/>
  <c r="L275" i="11" l="1"/>
  <c r="M275" i="11" s="1"/>
  <c r="N275" i="11" s="1"/>
  <c r="J276" i="11" s="1"/>
  <c r="L276" i="11" l="1"/>
  <c r="K276" i="11"/>
  <c r="M276" i="11" l="1"/>
  <c r="N276" i="11" s="1"/>
  <c r="J277" i="11" s="1"/>
  <c r="K277" i="11" s="1"/>
  <c r="L277" i="11" l="1"/>
  <c r="M277" i="11" s="1"/>
  <c r="N277" i="11" s="1"/>
  <c r="J278" i="11" s="1"/>
  <c r="L278" i="11" l="1"/>
  <c r="K278" i="11"/>
  <c r="M278" i="11" l="1"/>
  <c r="N278" i="11" s="1"/>
  <c r="J279" i="11" s="1"/>
  <c r="K279" i="11" l="1"/>
  <c r="L279" i="11"/>
  <c r="M279" i="11" l="1"/>
  <c r="N279" i="11" s="1"/>
  <c r="J280" i="11" s="1"/>
  <c r="L280" i="11" l="1"/>
  <c r="K280" i="11"/>
  <c r="M280" i="11" l="1"/>
  <c r="N280" i="11" s="1"/>
  <c r="J281" i="11" s="1"/>
  <c r="K281" i="11" s="1"/>
  <c r="L281" i="11" l="1"/>
  <c r="M281" i="11" s="1"/>
  <c r="N281" i="11" s="1"/>
  <c r="J282" i="11" s="1"/>
  <c r="K282" i="11" l="1"/>
  <c r="L282" i="11"/>
  <c r="M282" i="11" l="1"/>
  <c r="N282" i="11" s="1"/>
  <c r="J283" i="11" s="1"/>
  <c r="K283" i="11" l="1"/>
  <c r="L283" i="11"/>
  <c r="M283" i="11" l="1"/>
  <c r="N283" i="11" s="1"/>
  <c r="J284" i="11" s="1"/>
  <c r="L284" i="11" l="1"/>
  <c r="K284" i="11"/>
  <c r="M284" i="11" l="1"/>
  <c r="N284" i="11" s="1"/>
  <c r="J285" i="11" s="1"/>
  <c r="K285" i="11" s="1"/>
  <c r="L285" i="11" l="1"/>
  <c r="M285" i="11" s="1"/>
  <c r="N285" i="11" s="1"/>
  <c r="J286" i="11" s="1"/>
  <c r="L286" i="11" l="1"/>
  <c r="K286" i="11"/>
  <c r="M286" i="11" l="1"/>
  <c r="N286" i="11" s="1"/>
  <c r="J287" i="11" s="1"/>
  <c r="K287" i="11" l="1"/>
  <c r="L287" i="11"/>
  <c r="M287" i="11" l="1"/>
  <c r="N287" i="11" s="1"/>
  <c r="J288" i="11" s="1"/>
  <c r="K288" i="11" l="1"/>
  <c r="L288" i="11"/>
  <c r="M288" i="11" l="1"/>
  <c r="N288" i="11" s="1"/>
  <c r="J289" i="11" s="1"/>
  <c r="K289" i="11" l="1"/>
  <c r="L289" i="11"/>
  <c r="M289" i="11" l="1"/>
  <c r="N289" i="11" s="1"/>
  <c r="J290" i="11" s="1"/>
  <c r="K290" i="11" l="1"/>
  <c r="L290" i="11"/>
  <c r="M290" i="11" l="1"/>
  <c r="N290" i="11" s="1"/>
  <c r="J291" i="11" s="1"/>
  <c r="K291" i="11" l="1"/>
  <c r="L291" i="11"/>
  <c r="M291" i="11" l="1"/>
  <c r="N291" i="11" s="1"/>
  <c r="J292" i="11" s="1"/>
  <c r="K292" i="11" l="1"/>
  <c r="L292" i="11"/>
  <c r="M292" i="11" l="1"/>
  <c r="N292" i="11" s="1"/>
  <c r="J293" i="11" s="1"/>
  <c r="K293" i="11" l="1"/>
  <c r="L293" i="11"/>
  <c r="M293" i="11" l="1"/>
  <c r="N293" i="11" s="1"/>
  <c r="J294" i="11" s="1"/>
  <c r="K294" i="11" l="1"/>
  <c r="L294" i="11"/>
  <c r="M294" i="11" l="1"/>
  <c r="N294" i="11" s="1"/>
  <c r="J295" i="11" s="1"/>
  <c r="K295" i="11" l="1"/>
  <c r="L295" i="11"/>
  <c r="M295" i="11" l="1"/>
  <c r="N295" i="11" s="1"/>
  <c r="J296" i="11" s="1"/>
  <c r="K296" i="11" l="1"/>
  <c r="L296" i="11"/>
  <c r="M296" i="11" l="1"/>
  <c r="N296" i="11" s="1"/>
  <c r="J297" i="11" s="1"/>
  <c r="K297" i="11" l="1"/>
  <c r="L297" i="11"/>
  <c r="M297" i="11" l="1"/>
  <c r="N297" i="11" s="1"/>
  <c r="J298" i="11" s="1"/>
  <c r="L298" i="11" s="1"/>
  <c r="K298" i="11" l="1"/>
  <c r="M298" i="11" s="1"/>
  <c r="N298" i="11" s="1"/>
  <c r="J299" i="11" s="1"/>
  <c r="K299" i="11" l="1"/>
  <c r="L299" i="11"/>
  <c r="M299" i="11" l="1"/>
  <c r="N299" i="11" s="1"/>
  <c r="J300" i="11" s="1"/>
  <c r="L300" i="11" s="1"/>
  <c r="K300" i="11" l="1"/>
  <c r="M300" i="11" s="1"/>
  <c r="N300" i="11" s="1"/>
  <c r="J301" i="11" s="1"/>
  <c r="K301" i="11" s="1"/>
  <c r="L301" i="11" l="1"/>
  <c r="M301" i="11" s="1"/>
  <c r="N301" i="11" s="1"/>
  <c r="J302" i="11" s="1"/>
  <c r="K302" i="11" l="1"/>
  <c r="L302" i="11"/>
  <c r="M302" i="11" l="1"/>
  <c r="N302" i="11" s="1"/>
  <c r="J303" i="11" s="1"/>
  <c r="L303" i="11" l="1"/>
  <c r="K303" i="11"/>
  <c r="M303" i="11" l="1"/>
  <c r="N303" i="11" s="1"/>
  <c r="J304" i="11" s="1"/>
  <c r="L304" i="11" s="1"/>
  <c r="K304" i="11" l="1"/>
  <c r="M304" i="11" s="1"/>
  <c r="N304" i="11" s="1"/>
  <c r="J305" i="11" s="1"/>
  <c r="L305" i="11" s="1"/>
  <c r="K305" i="11" l="1"/>
  <c r="M305" i="11" s="1"/>
  <c r="N305" i="11" s="1"/>
  <c r="J306" i="11" s="1"/>
  <c r="L306" i="11" s="1"/>
  <c r="K306" i="11" l="1"/>
  <c r="M306" i="11" s="1"/>
  <c r="N306" i="11" s="1"/>
  <c r="J307" i="11" s="1"/>
  <c r="K307" i="11" s="1"/>
  <c r="L307" i="11" l="1"/>
  <c r="M307" i="11" s="1"/>
  <c r="N307" i="11" s="1"/>
  <c r="J308" i="11" s="1"/>
  <c r="K308" i="11" l="1"/>
  <c r="L308" i="11"/>
  <c r="M308" i="11" l="1"/>
  <c r="N308" i="11" s="1"/>
  <c r="J309" i="11" s="1"/>
  <c r="L309" i="11" l="1"/>
  <c r="K309" i="11"/>
  <c r="M309" i="11" l="1"/>
  <c r="N309" i="11" s="1"/>
  <c r="J310" i="11" s="1"/>
  <c r="K310" i="11" s="1"/>
  <c r="L310" i="11" l="1"/>
  <c r="M310" i="11" s="1"/>
  <c r="N310" i="11" s="1"/>
  <c r="J311" i="11" s="1"/>
  <c r="K311" i="11" l="1"/>
  <c r="L311" i="11"/>
  <c r="M311" i="11" l="1"/>
  <c r="N311" i="11" s="1"/>
  <c r="J312" i="11" s="1"/>
  <c r="L312" i="11" s="1"/>
  <c r="K312" i="11"/>
  <c r="M312" i="11" s="1"/>
  <c r="N312" i="11" s="1"/>
  <c r="J313" i="11" s="1"/>
  <c r="L313" i="11" s="1"/>
  <c r="K313" i="11" l="1"/>
  <c r="M313" i="11" s="1"/>
  <c r="N313" i="11" s="1"/>
  <c r="J314" i="11" s="1"/>
  <c r="K314" i="11" s="1"/>
  <c r="L314" i="11" l="1"/>
  <c r="M314" i="11" s="1"/>
  <c r="N314" i="11" s="1"/>
  <c r="J315" i="11" s="1"/>
  <c r="K315" i="11" l="1"/>
  <c r="L315" i="11"/>
  <c r="M315" i="11" l="1"/>
  <c r="N315" i="11" s="1"/>
  <c r="J316" i="11" s="1"/>
  <c r="K316" i="11" l="1"/>
  <c r="L316" i="11"/>
  <c r="M316" i="11" l="1"/>
  <c r="N316" i="11" s="1"/>
  <c r="J317" i="11" s="1"/>
  <c r="L317" i="11" l="1"/>
  <c r="K317" i="11"/>
  <c r="M317" i="11" l="1"/>
  <c r="N317" i="11" s="1"/>
  <c r="J318" i="11" s="1"/>
  <c r="K318" i="11" s="1"/>
  <c r="L318" i="11" l="1"/>
  <c r="M318" i="11" s="1"/>
  <c r="N318" i="11" s="1"/>
  <c r="J319" i="11" s="1"/>
  <c r="L319" i="11" l="1"/>
  <c r="K319" i="11"/>
  <c r="M319" i="11" l="1"/>
  <c r="N319" i="11" s="1"/>
  <c r="J320" i="11" s="1"/>
  <c r="K320" i="11" s="1"/>
  <c r="L320" i="11" l="1"/>
  <c r="M320" i="11" s="1"/>
  <c r="N320" i="11" s="1"/>
  <c r="J321" i="11" s="1"/>
  <c r="L321" i="11" l="1"/>
  <c r="K321" i="11"/>
  <c r="M321" i="11" l="1"/>
  <c r="N321" i="11" s="1"/>
  <c r="J322" i="11" s="1"/>
  <c r="L322" i="11" s="1"/>
  <c r="K322" i="11" l="1"/>
  <c r="M322" i="11" s="1"/>
  <c r="N322" i="11" s="1"/>
  <c r="J323" i="11" s="1"/>
  <c r="K323" i="11" s="1"/>
  <c r="L323" i="11" l="1"/>
  <c r="M323" i="11" s="1"/>
  <c r="N323" i="11" s="1"/>
  <c r="J324" i="11" s="1"/>
  <c r="K324" i="11" l="1"/>
  <c r="L324" i="11"/>
  <c r="M324" i="11" l="1"/>
  <c r="N324" i="11" s="1"/>
  <c r="J325" i="11" s="1"/>
  <c r="L325" i="11" l="1"/>
  <c r="K325" i="11"/>
  <c r="M325" i="11" l="1"/>
  <c r="N325" i="11" s="1"/>
  <c r="J326" i="11" s="1"/>
  <c r="L326" i="11" s="1"/>
  <c r="K326" i="11" l="1"/>
  <c r="M326" i="11" s="1"/>
  <c r="N326" i="11" s="1"/>
  <c r="J327" i="11" s="1"/>
  <c r="K327" i="11" s="1"/>
  <c r="L327" i="11" l="1"/>
  <c r="M327" i="11" s="1"/>
  <c r="N327" i="11" s="1"/>
  <c r="J328" i="11" s="1"/>
  <c r="L328" i="11" l="1"/>
  <c r="K328" i="11"/>
  <c r="M328" i="11" l="1"/>
  <c r="N328" i="11" s="1"/>
  <c r="J329" i="11" s="1"/>
  <c r="K329" i="11" s="1"/>
  <c r="L329" i="11"/>
  <c r="M329" i="11" l="1"/>
  <c r="N329" i="11" s="1"/>
  <c r="J330" i="11" s="1"/>
  <c r="K330" i="11" s="1"/>
  <c r="L330" i="11" l="1"/>
  <c r="M330" i="11" s="1"/>
  <c r="N330" i="11" s="1"/>
  <c r="J331" i="11" s="1"/>
  <c r="K331" i="11" l="1"/>
  <c r="L331" i="11"/>
  <c r="M331" i="11" l="1"/>
  <c r="N331" i="11" s="1"/>
  <c r="J332" i="11" s="1"/>
  <c r="L332" i="11" l="1"/>
  <c r="K332" i="11"/>
  <c r="M332" i="11" l="1"/>
  <c r="N332" i="11" s="1"/>
  <c r="J333" i="11" s="1"/>
  <c r="K333" i="11" s="1"/>
  <c r="L333" i="11" l="1"/>
  <c r="M333" i="11" s="1"/>
  <c r="N333" i="11" s="1"/>
  <c r="J334" i="11" s="1"/>
  <c r="L334" i="11" l="1"/>
  <c r="K334" i="11"/>
  <c r="M334" i="11" l="1"/>
  <c r="N334" i="11" s="1"/>
  <c r="J335" i="11" s="1"/>
  <c r="K335" i="11" s="1"/>
  <c r="L335" i="11" l="1"/>
  <c r="M335" i="11" s="1"/>
  <c r="N335" i="11" s="1"/>
  <c r="J336" i="11" s="1"/>
  <c r="K336" i="11" l="1"/>
  <c r="L336" i="11"/>
  <c r="M336" i="11" l="1"/>
  <c r="N336" i="11" s="1"/>
  <c r="J337" i="11" s="1"/>
  <c r="L337" i="11" l="1"/>
  <c r="K337" i="11"/>
  <c r="M337" i="11" l="1"/>
  <c r="N337" i="11" s="1"/>
  <c r="J338" i="11" s="1"/>
  <c r="L338" i="11" s="1"/>
  <c r="K338" i="11" l="1"/>
  <c r="M338" i="11" s="1"/>
  <c r="N338" i="11" s="1"/>
  <c r="J339" i="11" s="1"/>
  <c r="L339" i="11" s="1"/>
  <c r="K339" i="11" l="1"/>
  <c r="M339" i="11" s="1"/>
  <c r="N339" i="11" s="1"/>
  <c r="J340" i="11" s="1"/>
  <c r="L340" i="11" s="1"/>
  <c r="K340" i="11" l="1"/>
  <c r="M340" i="11" s="1"/>
  <c r="N340" i="11" s="1"/>
  <c r="J341" i="11" s="1"/>
  <c r="L341" i="11" s="1"/>
  <c r="K341" i="11" l="1"/>
  <c r="M341" i="11" s="1"/>
  <c r="N341" i="11" s="1"/>
  <c r="J342" i="11" s="1"/>
  <c r="L342" i="11" s="1"/>
  <c r="K342" i="11" l="1"/>
  <c r="M342" i="11" s="1"/>
  <c r="N342" i="11" s="1"/>
  <c r="J343" i="11" s="1"/>
  <c r="K343" i="11" s="1"/>
  <c r="L343" i="11" l="1"/>
  <c r="M343" i="11" s="1"/>
  <c r="N343" i="11" s="1"/>
  <c r="J344" i="11" s="1"/>
  <c r="L344" i="11" s="1"/>
  <c r="K344" i="11" l="1"/>
  <c r="M344" i="11" s="1"/>
  <c r="N344" i="11" s="1"/>
  <c r="J345" i="11" s="1"/>
  <c r="K345" i="11" s="1"/>
  <c r="L345" i="11" l="1"/>
  <c r="M345" i="11" s="1"/>
  <c r="N345" i="11" s="1"/>
  <c r="J346" i="11" s="1"/>
  <c r="K346" i="11" l="1"/>
  <c r="L346" i="11"/>
  <c r="M346" i="11" l="1"/>
  <c r="N346" i="11" s="1"/>
  <c r="J347" i="11" s="1"/>
  <c r="L347" i="11"/>
  <c r="K347" i="11"/>
  <c r="M347" i="11" l="1"/>
  <c r="N347" i="11" s="1"/>
  <c r="J348" i="11" s="1"/>
  <c r="L348" i="11"/>
  <c r="K348" i="11"/>
  <c r="M348" i="11" l="1"/>
  <c r="N348" i="11" s="1"/>
  <c r="J349" i="11" s="1"/>
  <c r="L349" i="11" s="1"/>
  <c r="K349" i="11"/>
  <c r="M349" i="11" l="1"/>
  <c r="N349" i="11" s="1"/>
  <c r="J350" i="11" s="1"/>
  <c r="K350" i="11" s="1"/>
  <c r="L350" i="11" l="1"/>
  <c r="M350" i="11" s="1"/>
  <c r="N350" i="11" s="1"/>
  <c r="J351" i="11" s="1"/>
  <c r="L351" i="11" l="1"/>
  <c r="K351" i="11"/>
  <c r="M351" i="11" l="1"/>
  <c r="N351" i="11" s="1"/>
  <c r="J352" i="11" s="1"/>
  <c r="L352" i="11" l="1"/>
  <c r="K352" i="11"/>
  <c r="M352" i="11" l="1"/>
  <c r="N352" i="11" s="1"/>
  <c r="J353" i="11" s="1"/>
  <c r="L353" i="11" s="1"/>
  <c r="K353" i="11" l="1"/>
  <c r="M353" i="11" s="1"/>
  <c r="N353" i="11" s="1"/>
  <c r="J354" i="11" s="1"/>
  <c r="K354" i="11" l="1"/>
  <c r="L354" i="11"/>
  <c r="M354" i="11" l="1"/>
  <c r="N354" i="11" s="1"/>
  <c r="J355" i="11" s="1"/>
  <c r="L355" i="11" s="1"/>
  <c r="K355" i="11" l="1"/>
  <c r="M355" i="11" s="1"/>
  <c r="N355" i="11" s="1"/>
  <c r="J356" i="11" s="1"/>
  <c r="K356" i="11" s="1"/>
  <c r="L356" i="11" l="1"/>
  <c r="M356" i="11" s="1"/>
  <c r="N356" i="11" s="1"/>
  <c r="J357" i="11" s="1"/>
  <c r="L357" i="11" l="1"/>
  <c r="K357" i="11"/>
  <c r="M357" i="11" s="1"/>
  <c r="N357" i="11" s="1"/>
  <c r="J358" i="11" s="1"/>
  <c r="L358" i="11" l="1"/>
  <c r="K358" i="11"/>
  <c r="M358" i="11" l="1"/>
  <c r="N358" i="11" s="1"/>
  <c r="J359" i="11" s="1"/>
  <c r="L359" i="11" s="1"/>
  <c r="K359" i="11" l="1"/>
  <c r="M359" i="11" s="1"/>
  <c r="N359" i="11" s="1"/>
  <c r="J360" i="11" s="1"/>
  <c r="L360" i="11" s="1"/>
  <c r="K360" i="11" l="1"/>
  <c r="M360" i="11" s="1"/>
  <c r="N360" i="11" s="1"/>
  <c r="J361" i="11" s="1"/>
  <c r="K361" i="11" l="1"/>
  <c r="L361" i="11"/>
  <c r="M361" i="11" l="1"/>
  <c r="N361" i="11" s="1"/>
  <c r="J362" i="11" s="1"/>
  <c r="L362" i="11" l="1"/>
  <c r="K362" i="11"/>
  <c r="M362" i="11" l="1"/>
  <c r="N362" i="11" s="1"/>
  <c r="J363" i="11" s="1"/>
  <c r="K363" i="11" s="1"/>
  <c r="L363" i="11" l="1"/>
  <c r="M363" i="11" s="1"/>
  <c r="N363" i="11" s="1"/>
  <c r="J364" i="11" s="1"/>
  <c r="L364" i="11" l="1"/>
  <c r="K364" i="11"/>
  <c r="M364" i="11" l="1"/>
  <c r="N364" i="11" s="1"/>
  <c r="J365" i="11" s="1"/>
  <c r="L365" i="11" l="1"/>
  <c r="K365" i="11"/>
  <c r="M365" i="11" s="1"/>
  <c r="N365" i="11" s="1"/>
  <c r="J366" i="11" s="1"/>
  <c r="L366" i="11" l="1"/>
  <c r="K366" i="11"/>
  <c r="M366" i="11" l="1"/>
  <c r="N366" i="11" s="1"/>
  <c r="J367" i="11" s="1"/>
  <c r="K367" i="11" l="1"/>
  <c r="L367" i="11"/>
  <c r="M367" i="11" l="1"/>
  <c r="N367" i="11" s="1"/>
  <c r="J368" i="11" s="1"/>
  <c r="L368" i="11" l="1"/>
  <c r="K368" i="11"/>
  <c r="M368" i="11" l="1"/>
  <c r="N368" i="11" s="1"/>
  <c r="J369" i="11" s="1"/>
  <c r="L369" i="11" l="1"/>
  <c r="K369" i="11"/>
  <c r="M369" i="11" l="1"/>
  <c r="N369" i="11" s="1"/>
  <c r="J370" i="11" s="1"/>
  <c r="K370" i="11" s="1"/>
  <c r="L370" i="11" l="1"/>
  <c r="M370" i="11" s="1"/>
  <c r="N370" i="11" s="1"/>
  <c r="J371" i="11" s="1"/>
  <c r="L371" i="11" s="1"/>
  <c r="K371" i="11" l="1"/>
  <c r="M371" i="11" s="1"/>
  <c r="N371" i="11" s="1"/>
  <c r="J372" i="11" s="1"/>
  <c r="L372" i="11" l="1"/>
  <c r="K372" i="11"/>
  <c r="M372" i="11" l="1"/>
  <c r="N372" i="11" s="1"/>
  <c r="J373" i="11" s="1"/>
  <c r="K373" i="11" s="1"/>
  <c r="L373" i="11" l="1"/>
  <c r="M373" i="11" s="1"/>
  <c r="N373" i="11" s="1"/>
  <c r="J374" i="11" s="1"/>
  <c r="K374" i="11" l="1"/>
  <c r="L374" i="11"/>
  <c r="M374" i="11" l="1"/>
  <c r="N374" i="11" s="1"/>
  <c r="J375" i="11" s="1"/>
  <c r="L375" i="11" s="1"/>
  <c r="K375" i="11" l="1"/>
  <c r="M375" i="11" s="1"/>
  <c r="N375" i="11" s="1"/>
  <c r="J376" i="11" s="1"/>
  <c r="K376" i="11" s="1"/>
  <c r="L376" i="11" l="1"/>
  <c r="M376" i="11" s="1"/>
  <c r="N376" i="11" s="1"/>
  <c r="J377" i="11" s="1"/>
  <c r="L377" i="11" l="1"/>
  <c r="K377" i="11"/>
  <c r="M377" i="11" l="1"/>
  <c r="N377" i="11" s="1"/>
  <c r="J378" i="11" s="1"/>
  <c r="K378" i="11" s="1"/>
  <c r="L378" i="11" l="1"/>
  <c r="M378" i="11" s="1"/>
  <c r="N378" i="11" s="1"/>
  <c r="J379" i="11" s="1"/>
  <c r="K379" i="11" s="1"/>
  <c r="L379" i="11" l="1"/>
  <c r="M379" i="11" s="1"/>
  <c r="N379" i="11" s="1"/>
  <c r="J380" i="11" s="1"/>
  <c r="K380" i="11" l="1"/>
  <c r="L380" i="11"/>
  <c r="M380" i="11" l="1"/>
  <c r="N380" i="11" s="1"/>
  <c r="J381" i="11" s="1"/>
  <c r="K381" i="11" l="1"/>
  <c r="L381" i="11"/>
  <c r="M381" i="11" l="1"/>
  <c r="N381" i="11" s="1"/>
  <c r="J382" i="11" s="1"/>
  <c r="K382" i="11" l="1"/>
  <c r="L382" i="11"/>
  <c r="M382" i="11" l="1"/>
  <c r="N382" i="11" s="1"/>
  <c r="J383" i="11" s="1"/>
  <c r="L383" i="11" s="1"/>
  <c r="K383" i="11" l="1"/>
  <c r="M383" i="11" s="1"/>
  <c r="N383" i="11" s="1"/>
  <c r="J384" i="11" s="1"/>
  <c r="K384" i="11" l="1"/>
  <c r="L384" i="11"/>
  <c r="M384" i="11" l="1"/>
  <c r="N384" i="11" s="1"/>
  <c r="J385" i="11" s="1"/>
  <c r="K385" i="11" l="1"/>
  <c r="L385" i="11"/>
  <c r="M385" i="11" l="1"/>
  <c r="N385" i="11" s="1"/>
  <c r="J386" i="11" s="1"/>
  <c r="L386" i="11" l="1"/>
  <c r="K386" i="11"/>
  <c r="M386" i="11" l="1"/>
  <c r="N386" i="11" s="1"/>
  <c r="J387" i="11" s="1"/>
  <c r="L387" i="11" s="1"/>
  <c r="K387" i="11"/>
  <c r="M387" i="11" l="1"/>
  <c r="N387" i="11" s="1"/>
  <c r="J388" i="11" s="1"/>
  <c r="K388" i="11" s="1"/>
  <c r="L388" i="11"/>
  <c r="M388" i="11" l="1"/>
  <c r="N388" i="11" s="1"/>
  <c r="J389" i="11" s="1"/>
  <c r="L389" i="11" s="1"/>
  <c r="K389" i="11"/>
  <c r="M389" i="11" l="1"/>
  <c r="N389" i="11" s="1"/>
  <c r="J390" i="11" s="1"/>
  <c r="K390" i="11"/>
  <c r="L390" i="11"/>
  <c r="M390" i="11" l="1"/>
  <c r="N390" i="11" s="1"/>
  <c r="J391" i="11" s="1"/>
  <c r="K391" i="11" l="1"/>
  <c r="L391" i="11"/>
  <c r="M391" i="11" l="1"/>
  <c r="N391" i="11" s="1"/>
  <c r="J392" i="11" s="1"/>
  <c r="L392" i="11" s="1"/>
  <c r="K392" i="11" l="1"/>
  <c r="M392" i="11" s="1"/>
  <c r="N392" i="11" s="1"/>
  <c r="J393" i="11" s="1"/>
  <c r="L393" i="11" l="1"/>
  <c r="K393" i="11"/>
  <c r="M393" i="11" l="1"/>
  <c r="N393" i="11" s="1"/>
  <c r="J394" i="11" s="1"/>
  <c r="L394" i="11" s="1"/>
  <c r="K394" i="11" l="1"/>
  <c r="M394" i="11" s="1"/>
  <c r="N394" i="11" s="1"/>
  <c r="J395" i="11" s="1"/>
  <c r="L395" i="11" s="1"/>
  <c r="K395" i="11" l="1"/>
  <c r="M395" i="11" s="1"/>
  <c r="N395" i="11" s="1"/>
  <c r="J396" i="11" s="1"/>
  <c r="L396" i="11" l="1"/>
  <c r="K396" i="11"/>
  <c r="M396" i="11" l="1"/>
  <c r="N396" i="11" s="1"/>
  <c r="J397" i="11" s="1"/>
  <c r="K397" i="11" s="1"/>
  <c r="L397" i="11" l="1"/>
  <c r="M397" i="11" s="1"/>
  <c r="N397" i="11" s="1"/>
  <c r="J398" i="11" s="1"/>
  <c r="K398" i="11" l="1"/>
  <c r="M398" i="11" s="1"/>
  <c r="N398" i="11" s="1"/>
  <c r="J399" i="11" s="1"/>
  <c r="L398" i="11"/>
  <c r="K399" i="11" l="1"/>
  <c r="M399" i="11" s="1"/>
  <c r="N399" i="11" s="1"/>
  <c r="J400" i="11" s="1"/>
  <c r="L399" i="11"/>
  <c r="L400" i="11" l="1"/>
  <c r="K400" i="11"/>
  <c r="M400" i="11" s="1"/>
  <c r="N400" i="11" s="1"/>
  <c r="J401" i="11" s="1"/>
  <c r="K401" i="11" l="1"/>
  <c r="L401" i="11"/>
  <c r="M401" i="11" l="1"/>
  <c r="N401" i="11" s="1"/>
  <c r="J402" i="11" s="1"/>
  <c r="L402" i="11" s="1"/>
  <c r="K402" i="11" l="1"/>
  <c r="M402" i="11" s="1"/>
  <c r="N402" i="11" s="1"/>
  <c r="J403" i="11" s="1"/>
  <c r="K403" i="11" l="1"/>
  <c r="L403" i="11"/>
  <c r="M403" i="11" l="1"/>
  <c r="N403" i="11" s="1"/>
  <c r="J404" i="11" s="1"/>
  <c r="L404" i="11" l="1"/>
  <c r="K404" i="11"/>
  <c r="M404" i="11" l="1"/>
  <c r="N404" i="11" s="1"/>
  <c r="J405" i="11" s="1"/>
  <c r="L405" i="11" s="1"/>
  <c r="K405" i="11" l="1"/>
  <c r="M405" i="11" s="1"/>
  <c r="N405" i="11" s="1"/>
  <c r="J406" i="11" s="1"/>
  <c r="L406" i="11" s="1"/>
  <c r="K406" i="11" l="1"/>
  <c r="M406" i="11" s="1"/>
  <c r="N406" i="11" s="1"/>
  <c r="J407" i="11" s="1"/>
  <c r="K407" i="11" l="1"/>
  <c r="L407" i="11"/>
  <c r="M407" i="11" l="1"/>
  <c r="N407" i="11" s="1"/>
  <c r="J408" i="11" s="1"/>
  <c r="K408" i="11" l="1"/>
  <c r="L408" i="11"/>
  <c r="M408" i="11" l="1"/>
  <c r="N408" i="11" s="1"/>
  <c r="J409" i="11" s="1"/>
  <c r="K409" i="11" l="1"/>
  <c r="L409" i="11"/>
  <c r="M409" i="11" l="1"/>
  <c r="N409" i="11" s="1"/>
  <c r="J410" i="11" s="1"/>
  <c r="L410" i="11" l="1"/>
  <c r="K410" i="11"/>
  <c r="M410" i="11" l="1"/>
  <c r="N410" i="11" s="1"/>
  <c r="J411" i="11" s="1"/>
  <c r="L411" i="11" l="1"/>
  <c r="K411" i="11"/>
  <c r="M411" i="11" l="1"/>
  <c r="N411" i="11" s="1"/>
  <c r="J412" i="11" s="1"/>
  <c r="L412" i="11" s="1"/>
  <c r="K412" i="11" l="1"/>
  <c r="M412" i="11" s="1"/>
  <c r="N412" i="11" s="1"/>
  <c r="J413" i="11" s="1"/>
  <c r="K413" i="11" s="1"/>
  <c r="L413" i="11" l="1"/>
  <c r="M413" i="11" s="1"/>
  <c r="N413" i="11" s="1"/>
  <c r="J414" i="11" s="1"/>
  <c r="L414" i="11" l="1"/>
  <c r="K414" i="11"/>
  <c r="M414" i="11" s="1"/>
  <c r="N414" i="11" s="1"/>
  <c r="J415" i="11" s="1"/>
  <c r="L415" i="11" l="1"/>
  <c r="K415" i="11"/>
  <c r="M415" i="11" l="1"/>
  <c r="N415" i="11" s="1"/>
  <c r="J416" i="11" s="1"/>
  <c r="L416" i="11" s="1"/>
  <c r="K416" i="11" l="1"/>
  <c r="M416" i="11" s="1"/>
  <c r="N416" i="11" s="1"/>
  <c r="J417" i="11" s="1"/>
  <c r="L417" i="11" s="1"/>
  <c r="K417" i="11" l="1"/>
  <c r="M417" i="11" s="1"/>
  <c r="N417" i="11" s="1"/>
  <c r="J418" i="11" s="1"/>
  <c r="L418" i="11" s="1"/>
  <c r="K418" i="11" l="1"/>
  <c r="M418" i="11" s="1"/>
  <c r="N418" i="11" s="1"/>
  <c r="J419" i="11" s="1"/>
  <c r="L419" i="11" s="1"/>
  <c r="K419" i="11" l="1"/>
  <c r="M419" i="11" s="1"/>
  <c r="N419" i="11" s="1"/>
  <c r="J420" i="11" s="1"/>
  <c r="K420" i="11" l="1"/>
  <c r="L420" i="11"/>
  <c r="M420" i="11" l="1"/>
  <c r="N420" i="11" s="1"/>
  <c r="J421" i="11" s="1"/>
  <c r="L421" i="11" l="1"/>
  <c r="K421" i="11"/>
  <c r="M421" i="11" l="1"/>
  <c r="N421" i="11" s="1"/>
  <c r="J422" i="11" s="1"/>
  <c r="L422" i="11" s="1"/>
  <c r="K422" i="11" l="1"/>
  <c r="M422" i="11" s="1"/>
  <c r="N422" i="11" s="1"/>
  <c r="J423" i="11" s="1"/>
  <c r="L423" i="11" s="1"/>
  <c r="K423" i="11" l="1"/>
  <c r="M423" i="11" s="1"/>
  <c r="N423" i="11" s="1"/>
  <c r="J424" i="11" s="1"/>
  <c r="K424" i="11" s="1"/>
  <c r="L424" i="11" l="1"/>
  <c r="M424" i="11" s="1"/>
  <c r="N424" i="11" s="1"/>
  <c r="J425" i="11" s="1"/>
  <c r="K425" i="11" l="1"/>
  <c r="L425" i="11"/>
  <c r="M425" i="11" l="1"/>
  <c r="N425" i="11" s="1"/>
  <c r="J426" i="11" s="1"/>
  <c r="K426" i="11"/>
  <c r="L426" i="11"/>
  <c r="M426" i="11" l="1"/>
  <c r="N426" i="11" s="1"/>
  <c r="J427" i="11" s="1"/>
  <c r="K427" i="11" l="1"/>
  <c r="L427" i="11"/>
  <c r="M427" i="11" l="1"/>
  <c r="N427" i="11" s="1"/>
  <c r="J428" i="11" s="1"/>
  <c r="K428" i="11" s="1"/>
  <c r="L428" i="11" l="1"/>
  <c r="M428" i="11"/>
  <c r="N428" i="11" s="1"/>
  <c r="J429" i="11" s="1"/>
  <c r="L429" i="11" l="1"/>
  <c r="K429" i="11"/>
  <c r="M429" i="11" l="1"/>
  <c r="N429" i="11" s="1"/>
  <c r="J430" i="11" s="1"/>
  <c r="K430" i="11" s="1"/>
  <c r="L430" i="11" l="1"/>
  <c r="M430" i="11" s="1"/>
  <c r="N430" i="11" s="1"/>
  <c r="J431" i="11" s="1"/>
  <c r="L431" i="11" l="1"/>
  <c r="K431" i="11"/>
  <c r="M431" i="11" s="1"/>
  <c r="N431" i="11" s="1"/>
  <c r="J432" i="11" s="1"/>
  <c r="K432" i="11" s="1"/>
  <c r="L432" i="11" l="1"/>
  <c r="M432" i="11"/>
  <c r="N432" i="11" s="1"/>
  <c r="J433" i="11" s="1"/>
  <c r="K433" i="11" l="1"/>
  <c r="L433" i="11"/>
  <c r="M433" i="11" l="1"/>
  <c r="N433" i="11" s="1"/>
  <c r="J434" i="11" s="1"/>
  <c r="K434" i="11" l="1"/>
  <c r="L434" i="11"/>
  <c r="M434" i="11" l="1"/>
  <c r="N434" i="11" s="1"/>
  <c r="J435" i="11" s="1"/>
  <c r="L435" i="11" l="1"/>
  <c r="K435" i="11"/>
  <c r="M435" i="11" l="1"/>
  <c r="N435" i="11" s="1"/>
  <c r="J436" i="11" s="1"/>
  <c r="K436" i="11" l="1"/>
  <c r="L436" i="11"/>
  <c r="M436" i="11" l="1"/>
  <c r="N436" i="11" s="1"/>
  <c r="J437" i="11" s="1"/>
  <c r="K437" i="11" s="1"/>
  <c r="L437" i="11"/>
  <c r="M437" i="11" l="1"/>
  <c r="N437" i="11" s="1"/>
  <c r="J438" i="11" s="1"/>
  <c r="L438" i="11" s="1"/>
  <c r="K438" i="11" l="1"/>
  <c r="M438" i="11"/>
  <c r="N438" i="11" s="1"/>
  <c r="J439" i="11" s="1"/>
  <c r="K439" i="11" l="1"/>
  <c r="L439" i="11"/>
  <c r="M439" i="11" l="1"/>
  <c r="N439" i="11" s="1"/>
  <c r="J440" i="11" s="1"/>
  <c r="L440" i="11" l="1"/>
  <c r="K440" i="11"/>
  <c r="M440" i="11" l="1"/>
  <c r="N440" i="11" s="1"/>
  <c r="J441" i="11" s="1"/>
  <c r="L441" i="11" l="1"/>
  <c r="K441" i="11"/>
  <c r="M441" i="11" l="1"/>
  <c r="N441" i="11" s="1"/>
  <c r="J442" i="11" s="1"/>
  <c r="K442" i="11" l="1"/>
  <c r="L442" i="11"/>
  <c r="M442" i="11" l="1"/>
  <c r="N442" i="11" s="1"/>
  <c r="J443" i="11" s="1"/>
  <c r="L443" i="11" l="1"/>
  <c r="K443" i="11"/>
  <c r="M443" i="11" l="1"/>
  <c r="N443" i="11" s="1"/>
  <c r="J444" i="11" s="1"/>
  <c r="K444" i="11" s="1"/>
  <c r="L444" i="11" l="1"/>
  <c r="M444" i="11" s="1"/>
  <c r="N444" i="11" s="1"/>
  <c r="J445" i="11" s="1"/>
  <c r="L445" i="11" l="1"/>
  <c r="K445" i="11"/>
  <c r="M445" i="11" l="1"/>
  <c r="N445" i="11" s="1"/>
  <c r="J446" i="11" s="1"/>
  <c r="K446" i="11" l="1"/>
  <c r="L446" i="11"/>
  <c r="M446" i="11" l="1"/>
  <c r="N446" i="11" s="1"/>
  <c r="J447" i="11" s="1"/>
  <c r="K447" i="11" l="1"/>
  <c r="L447" i="11"/>
  <c r="M447" i="11" l="1"/>
  <c r="N447" i="11" s="1"/>
  <c r="J448" i="11" s="1"/>
  <c r="L448" i="11"/>
  <c r="K448" i="11"/>
  <c r="M448" i="11" l="1"/>
  <c r="N448" i="11" s="1"/>
  <c r="J449" i="11" s="1"/>
  <c r="L449" i="11" l="1"/>
  <c r="K449" i="11"/>
  <c r="M449" i="11" l="1"/>
  <c r="N449" i="11" s="1"/>
  <c r="J450" i="11" s="1"/>
  <c r="L450" i="11" l="1"/>
  <c r="K450" i="11"/>
  <c r="M450" i="11" s="1"/>
  <c r="N450" i="11" s="1"/>
  <c r="J451" i="11" s="1"/>
  <c r="K451" i="11" l="1"/>
  <c r="L451" i="11"/>
  <c r="M451" i="11" l="1"/>
  <c r="N451" i="11" s="1"/>
  <c r="J452" i="11" s="1"/>
  <c r="L452" i="11" s="1"/>
  <c r="K452" i="11" l="1"/>
  <c r="M452" i="11" s="1"/>
  <c r="N452" i="11" s="1"/>
  <c r="J453" i="11" s="1"/>
  <c r="L453" i="11" l="1"/>
  <c r="K453" i="11"/>
  <c r="M453" i="11" l="1"/>
  <c r="N453" i="11" s="1"/>
  <c r="J454" i="11" s="1"/>
  <c r="L454" i="11" s="1"/>
  <c r="K454" i="11" l="1"/>
  <c r="M454" i="11" s="1"/>
  <c r="N454" i="11" s="1"/>
  <c r="J455" i="11" s="1"/>
  <c r="L455" i="11" l="1"/>
  <c r="K455" i="11"/>
  <c r="M455" i="11" l="1"/>
  <c r="N455" i="11" s="1"/>
  <c r="J456" i="11" s="1"/>
  <c r="L456" i="11" l="1"/>
  <c r="K456" i="11"/>
  <c r="M456" i="11" l="1"/>
  <c r="N456" i="11" s="1"/>
  <c r="J457" i="11" s="1"/>
  <c r="K457" i="11" s="1"/>
  <c r="L457" i="11" l="1"/>
  <c r="M457" i="11" s="1"/>
  <c r="N457" i="11" s="1"/>
  <c r="J458" i="11" s="1"/>
  <c r="K458" i="11" l="1"/>
  <c r="L458" i="11"/>
  <c r="M458" i="11" l="1"/>
  <c r="N458" i="11" s="1"/>
  <c r="J459" i="11" s="1"/>
  <c r="L459" i="11" l="1"/>
  <c r="K459" i="11"/>
  <c r="M459" i="11" l="1"/>
  <c r="N459" i="11" s="1"/>
  <c r="J460" i="11" s="1"/>
  <c r="L460" i="11" s="1"/>
  <c r="K460" i="11"/>
  <c r="M460" i="11" l="1"/>
  <c r="N460" i="11" s="1"/>
  <c r="J461" i="11" s="1"/>
  <c r="L461" i="11" s="1"/>
  <c r="K461" i="11" l="1"/>
  <c r="M461" i="11"/>
  <c r="N461" i="11" s="1"/>
  <c r="J462" i="11" s="1"/>
  <c r="K462" i="11" l="1"/>
  <c r="L462" i="11"/>
  <c r="M462" i="11" l="1"/>
  <c r="N462" i="11" s="1"/>
  <c r="J463" i="11" s="1"/>
  <c r="L463" i="11" l="1"/>
  <c r="K463" i="11"/>
  <c r="M463" i="11" l="1"/>
  <c r="N463" i="11" s="1"/>
  <c r="J464" i="11" s="1"/>
  <c r="L464" i="11" l="1"/>
  <c r="K464" i="11"/>
  <c r="M464" i="11" l="1"/>
  <c r="N464" i="11" s="1"/>
  <c r="J465" i="11" s="1"/>
  <c r="K465" i="11" s="1"/>
  <c r="L465" i="11" l="1"/>
  <c r="M465" i="11" s="1"/>
  <c r="N465" i="11" s="1"/>
  <c r="J466" i="11" s="1"/>
  <c r="K466" i="11" l="1"/>
  <c r="L466" i="11"/>
  <c r="M466" i="11" l="1"/>
  <c r="N466" i="11" s="1"/>
  <c r="J467" i="11" s="1"/>
  <c r="K467" i="11"/>
  <c r="L467" i="11"/>
  <c r="M467" i="11" s="1"/>
  <c r="N467" i="11" s="1"/>
  <c r="J468" i="11" s="1"/>
  <c r="L468" i="11" s="1"/>
  <c r="K468" i="11" l="1"/>
  <c r="M468" i="11" s="1"/>
  <c r="N468" i="11" s="1"/>
  <c r="J469" i="11" s="1"/>
  <c r="K469" i="11" l="1"/>
  <c r="L469" i="11"/>
  <c r="M469" i="11" l="1"/>
  <c r="N469" i="11" s="1"/>
  <c r="J470" i="11" s="1"/>
  <c r="L470" i="11" s="1"/>
  <c r="K470" i="11" l="1"/>
  <c r="M470" i="11" s="1"/>
  <c r="N470" i="11" s="1"/>
  <c r="J471" i="11" s="1"/>
  <c r="K471" i="11" l="1"/>
  <c r="L471" i="11"/>
  <c r="M471" i="11" l="1"/>
  <c r="N471" i="11" s="1"/>
  <c r="J472" i="11" s="1"/>
  <c r="L472" i="11" l="1"/>
  <c r="K472" i="11"/>
  <c r="M472" i="11" l="1"/>
  <c r="N472" i="11" s="1"/>
  <c r="J473" i="11" s="1"/>
  <c r="K473" i="11" s="1"/>
  <c r="L473" i="11" l="1"/>
  <c r="M473" i="11" s="1"/>
  <c r="N473" i="11" s="1"/>
  <c r="J474" i="11" s="1"/>
  <c r="L474" i="11" s="1"/>
  <c r="K474" i="11" l="1"/>
  <c r="M474" i="11" s="1"/>
  <c r="N474" i="11" s="1"/>
  <c r="J475" i="11" s="1"/>
  <c r="K475" i="11" s="1"/>
  <c r="L475" i="11" l="1"/>
  <c r="M475" i="11" s="1"/>
  <c r="N475" i="11" s="1"/>
  <c r="J476" i="11" s="1"/>
  <c r="K476" i="11" l="1"/>
  <c r="L476" i="11"/>
  <c r="M476" i="11" l="1"/>
  <c r="N476" i="11" s="1"/>
  <c r="J477" i="11" s="1"/>
  <c r="K477" i="11" l="1"/>
  <c r="L477" i="11"/>
  <c r="M477" i="11" l="1"/>
  <c r="N477" i="11" s="1"/>
  <c r="J478" i="11" s="1"/>
  <c r="K478" i="11" l="1"/>
  <c r="L478" i="11"/>
  <c r="M478" i="11" l="1"/>
  <c r="N478" i="11" s="1"/>
  <c r="J479" i="11" s="1"/>
  <c r="L479" i="11" l="1"/>
  <c r="K479" i="11"/>
  <c r="M479" i="11" s="1"/>
  <c r="N479" i="11" s="1"/>
  <c r="J480" i="11" s="1"/>
  <c r="L480" i="11" l="1"/>
  <c r="K480" i="11"/>
  <c r="M480" i="11" l="1"/>
  <c r="N480" i="11" s="1"/>
  <c r="J481" i="11" s="1"/>
  <c r="K481" i="11" s="1"/>
  <c r="L481" i="11" l="1"/>
  <c r="M481" i="11" s="1"/>
  <c r="N481" i="11" s="1"/>
  <c r="J482" i="11" s="1"/>
  <c r="L482" i="11" s="1"/>
  <c r="K482" i="11" l="1"/>
  <c r="M482" i="11" s="1"/>
  <c r="N482" i="11" s="1"/>
  <c r="J483" i="11" s="1"/>
  <c r="K483" i="11" s="1"/>
  <c r="L483" i="11" l="1"/>
  <c r="M483" i="11" s="1"/>
  <c r="N483" i="11" s="1"/>
  <c r="J484" i="11" s="1"/>
  <c r="L484" i="11" l="1"/>
  <c r="K484" i="11"/>
  <c r="M484" i="11" s="1"/>
  <c r="N484" i="11" s="1"/>
  <c r="J485" i="11" s="1"/>
  <c r="L485" i="11" s="1"/>
  <c r="K485" i="11" l="1"/>
  <c r="M485" i="11" s="1"/>
  <c r="N485" i="11" s="1"/>
  <c r="J486" i="11" s="1"/>
  <c r="L486" i="11" s="1"/>
  <c r="K486" i="11" l="1"/>
  <c r="M486" i="11" s="1"/>
  <c r="N486" i="11" s="1"/>
  <c r="J487" i="11" s="1"/>
  <c r="L487" i="11" l="1"/>
  <c r="K487" i="11"/>
  <c r="M487" i="11" s="1"/>
  <c r="N487" i="11" s="1"/>
  <c r="J488" i="11" s="1"/>
  <c r="L488" i="11" l="1"/>
  <c r="K488" i="11"/>
  <c r="M488" i="11" l="1"/>
  <c r="N488" i="11" s="1"/>
  <c r="J489" i="11" s="1"/>
  <c r="L489" i="11" l="1"/>
  <c r="K489" i="11"/>
  <c r="M489" i="11" s="1"/>
  <c r="N489" i="11" s="1"/>
  <c r="N41" i="5" l="1"/>
  <c r="O41" i="5"/>
  <c r="P41" i="5"/>
  <c r="Q41" i="5"/>
  <c r="R41" i="5"/>
  <c r="N8" i="5"/>
  <c r="O8" i="5"/>
  <c r="P8" i="5"/>
  <c r="L17" i="9" s="1"/>
  <c r="Q8" i="5"/>
  <c r="R8" i="5"/>
  <c r="N91" i="2"/>
  <c r="M91" i="2"/>
  <c r="M93" i="2"/>
  <c r="M97" i="2"/>
  <c r="H20" i="4"/>
  <c r="I20" i="4"/>
  <c r="J20" i="4"/>
  <c r="K20" i="4"/>
  <c r="L20" i="4"/>
  <c r="D28" i="7"/>
  <c r="M29" i="2"/>
  <c r="N17" i="5" s="1"/>
  <c r="N16" i="5" s="1"/>
  <c r="N29" i="2"/>
  <c r="O17" i="5" s="1"/>
  <c r="O16" i="5" s="1"/>
  <c r="O29" i="2"/>
  <c r="P17" i="5" s="1"/>
  <c r="P16" i="5" s="1"/>
  <c r="P29" i="2"/>
  <c r="Q17" i="5" s="1"/>
  <c r="Q16" i="5" s="1"/>
  <c r="Q29" i="2"/>
  <c r="R17" i="5" s="1"/>
  <c r="R16" i="5" s="1"/>
  <c r="M30" i="2"/>
  <c r="N30" i="2"/>
  <c r="O30" i="2"/>
  <c r="P30" i="2"/>
  <c r="Q30" i="2"/>
  <c r="M31" i="2"/>
  <c r="N31" i="2"/>
  <c r="O31" i="2"/>
  <c r="P31" i="2"/>
  <c r="Q31" i="2"/>
  <c r="M90" i="2"/>
  <c r="M92" i="2"/>
  <c r="M94" i="2"/>
  <c r="M95" i="2"/>
  <c r="M96" i="2"/>
  <c r="M2" i="2"/>
  <c r="M142" i="2" s="1"/>
  <c r="N2" i="2"/>
  <c r="N142" i="2" s="1"/>
  <c r="O2" i="2"/>
  <c r="O142" i="2" s="1"/>
  <c r="P2" i="2"/>
  <c r="P142" i="2" s="1"/>
  <c r="Q2" i="2"/>
  <c r="Q142" i="2" s="1"/>
  <c r="H21" i="4"/>
  <c r="W4" i="1"/>
  <c r="X4" i="1"/>
  <c r="Y4" i="1"/>
  <c r="Z4" i="1"/>
  <c r="AA4" i="1"/>
  <c r="J6" i="7"/>
  <c r="K6" i="7"/>
  <c r="L6" i="7"/>
  <c r="I10" i="7"/>
  <c r="J10" i="7"/>
  <c r="I12" i="7"/>
  <c r="J12" i="7"/>
  <c r="I13" i="7"/>
  <c r="J13" i="7"/>
  <c r="K13" i="7"/>
  <c r="M17" i="7"/>
  <c r="L22" i="7"/>
  <c r="L4" i="7"/>
  <c r="M4" i="7"/>
  <c r="D11" i="10"/>
  <c r="D3" i="10"/>
  <c r="E3" i="10" s="1"/>
  <c r="F3" i="10" s="1"/>
  <c r="G3" i="10" s="1"/>
  <c r="H3" i="10" s="1"/>
  <c r="I3" i="10" s="1"/>
  <c r="J3" i="10" s="1"/>
  <c r="E35" i="9"/>
  <c r="E27" i="9"/>
  <c r="E31" i="9" s="1"/>
  <c r="H16" i="5"/>
  <c r="I31" i="9"/>
  <c r="H50" i="5"/>
  <c r="H57" i="5" s="1"/>
  <c r="I47" i="5"/>
  <c r="J41" i="5"/>
  <c r="K41" i="5"/>
  <c r="L41" i="5"/>
  <c r="M41" i="5"/>
  <c r="I41" i="5"/>
  <c r="H12" i="5"/>
  <c r="K8" i="5"/>
  <c r="L8" i="5"/>
  <c r="M8" i="5"/>
  <c r="J8" i="5"/>
  <c r="H106" i="2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4" i="7"/>
  <c r="O33" i="2" l="1"/>
  <c r="K21" i="9"/>
  <c r="N21" i="9"/>
  <c r="I21" i="7"/>
  <c r="M7" i="7"/>
  <c r="K7" i="7"/>
  <c r="I7" i="7"/>
  <c r="J7" i="7"/>
  <c r="P74" i="2"/>
  <c r="P76" i="2" s="1"/>
  <c r="K19" i="7"/>
  <c r="M14" i="7"/>
  <c r="O74" i="2"/>
  <c r="O76" i="2" s="1"/>
  <c r="Q74" i="2"/>
  <c r="Q76" i="2" s="1"/>
  <c r="L14" i="7"/>
  <c r="N74" i="2"/>
  <c r="N76" i="2" s="1"/>
  <c r="I8" i="7"/>
  <c r="I5" i="7"/>
  <c r="M74" i="2"/>
  <c r="M76" i="2" s="1"/>
  <c r="Q33" i="2"/>
  <c r="N33" i="2"/>
  <c r="M33" i="2"/>
  <c r="K17" i="9"/>
  <c r="N17" i="9"/>
  <c r="J17" i="9"/>
  <c r="M17" i="9"/>
  <c r="L21" i="9"/>
  <c r="K16" i="7"/>
  <c r="J16" i="7"/>
  <c r="L9" i="7"/>
  <c r="K9" i="7"/>
  <c r="K22" i="7"/>
  <c r="M20" i="7"/>
  <c r="J19" i="7"/>
  <c r="L17" i="7"/>
  <c r="I16" i="7"/>
  <c r="K14" i="7"/>
  <c r="M11" i="7"/>
  <c r="J9" i="7"/>
  <c r="L7" i="7"/>
  <c r="I6" i="7"/>
  <c r="K4" i="7"/>
  <c r="J22" i="7"/>
  <c r="L20" i="7"/>
  <c r="I19" i="7"/>
  <c r="K17" i="7"/>
  <c r="M15" i="7"/>
  <c r="J14" i="7"/>
  <c r="L11" i="7"/>
  <c r="I9" i="7"/>
  <c r="M5" i="7"/>
  <c r="J4" i="7"/>
  <c r="I22" i="7"/>
  <c r="K20" i="7"/>
  <c r="M18" i="7"/>
  <c r="J17" i="7"/>
  <c r="L15" i="7"/>
  <c r="I14" i="7"/>
  <c r="K11" i="7"/>
  <c r="M8" i="7"/>
  <c r="L5" i="7"/>
  <c r="I4" i="7"/>
  <c r="M21" i="7"/>
  <c r="J20" i="7"/>
  <c r="L18" i="7"/>
  <c r="I17" i="7"/>
  <c r="K15" i="7"/>
  <c r="M12" i="7"/>
  <c r="J11" i="7"/>
  <c r="L8" i="7"/>
  <c r="K5" i="7"/>
  <c r="L21" i="7"/>
  <c r="I20" i="7"/>
  <c r="K18" i="7"/>
  <c r="M16" i="7"/>
  <c r="J15" i="7"/>
  <c r="L12" i="7"/>
  <c r="I11" i="7"/>
  <c r="K8" i="7"/>
  <c r="M6" i="7"/>
  <c r="J5" i="7"/>
  <c r="K21" i="7"/>
  <c r="M19" i="7"/>
  <c r="J18" i="7"/>
  <c r="L16" i="7"/>
  <c r="I15" i="7"/>
  <c r="K12" i="7"/>
  <c r="M9" i="7"/>
  <c r="J8" i="7"/>
  <c r="M22" i="7"/>
  <c r="J21" i="7"/>
  <c r="L19" i="7"/>
  <c r="I18" i="7"/>
  <c r="O39" i="1"/>
  <c r="M21" i="9"/>
  <c r="K3" i="10"/>
  <c r="N96" i="2"/>
  <c r="N94" i="2"/>
  <c r="N92" i="2"/>
  <c r="N90" i="2"/>
  <c r="M10" i="7"/>
  <c r="L10" i="7"/>
  <c r="K10" i="7"/>
  <c r="P39" i="1"/>
  <c r="Q84" i="2" s="1"/>
  <c r="P70" i="2"/>
  <c r="O70" i="2"/>
  <c r="N39" i="1"/>
  <c r="N70" i="2"/>
  <c r="M39" i="1"/>
  <c r="M70" i="2"/>
  <c r="L39" i="1"/>
  <c r="M13" i="7"/>
  <c r="L13" i="7"/>
  <c r="Q70" i="2"/>
  <c r="M23" i="2"/>
  <c r="Q107" i="2"/>
  <c r="N18" i="9" s="1"/>
  <c r="Q130" i="2" s="1"/>
  <c r="O107" i="2"/>
  <c r="L18" i="9" s="1"/>
  <c r="O130" i="2" s="1"/>
  <c r="P107" i="2"/>
  <c r="M18" i="9" s="1"/>
  <c r="P130" i="2" s="1"/>
  <c r="N107" i="2"/>
  <c r="K18" i="9" s="1"/>
  <c r="N130" i="2" s="1"/>
  <c r="M107" i="2"/>
  <c r="J18" i="9" s="1"/>
  <c r="O95" i="2"/>
  <c r="N95" i="2"/>
  <c r="M99" i="2"/>
  <c r="M148" i="2" s="1"/>
  <c r="M10" i="2"/>
  <c r="M9" i="2"/>
  <c r="P33" i="2"/>
  <c r="H72" i="5"/>
  <c r="I17" i="9"/>
  <c r="G17" i="9"/>
  <c r="H17" i="9"/>
  <c r="M130" i="2" l="1"/>
  <c r="L40" i="1"/>
  <c r="N13" i="5" s="1"/>
  <c r="P40" i="1"/>
  <c r="R13" i="5" s="1"/>
  <c r="O40" i="1"/>
  <c r="Q13" i="5" s="1"/>
  <c r="N40" i="1"/>
  <c r="P13" i="5" s="1"/>
  <c r="Q72" i="2"/>
  <c r="M72" i="2"/>
  <c r="N72" i="2"/>
  <c r="O63" i="5" s="1"/>
  <c r="P77" i="2"/>
  <c r="P75" i="2" s="1"/>
  <c r="P72" i="2"/>
  <c r="O77" i="2"/>
  <c r="O75" i="2" s="1"/>
  <c r="O72" i="2"/>
  <c r="M40" i="1"/>
  <c r="O13" i="5" s="1"/>
  <c r="J24" i="7"/>
  <c r="J25" i="7" s="1"/>
  <c r="I24" i="7"/>
  <c r="K24" i="7"/>
  <c r="Q82" i="2"/>
  <c r="P82" i="2"/>
  <c r="M24" i="7"/>
  <c r="M25" i="7" s="1"/>
  <c r="P83" i="2"/>
  <c r="P84" i="2"/>
  <c r="L24" i="7"/>
  <c r="L25" i="7" s="1"/>
  <c r="Q73" i="2"/>
  <c r="P73" i="2"/>
  <c r="M77" i="2"/>
  <c r="M75" i="2" s="1"/>
  <c r="M73" i="2"/>
  <c r="N73" i="2"/>
  <c r="O73" i="2"/>
  <c r="N97" i="2"/>
  <c r="O96" i="2"/>
  <c r="O94" i="2"/>
  <c r="N93" i="2"/>
  <c r="N99" i="2" s="1"/>
  <c r="N148" i="2" s="1"/>
  <c r="O92" i="2"/>
  <c r="O90" i="2"/>
  <c r="I21" i="4"/>
  <c r="N23" i="2" s="1"/>
  <c r="Q83" i="2"/>
  <c r="N77" i="2"/>
  <c r="N75" i="2" s="1"/>
  <c r="O83" i="2"/>
  <c r="O82" i="2"/>
  <c r="O84" i="2"/>
  <c r="Q77" i="2"/>
  <c r="Q75" i="2" s="1"/>
  <c r="M83" i="2"/>
  <c r="M82" i="2"/>
  <c r="M84" i="2"/>
  <c r="N83" i="2"/>
  <c r="N82" i="2"/>
  <c r="N84" i="2"/>
  <c r="O91" i="2"/>
  <c r="P95" i="2"/>
  <c r="Q95" i="2"/>
  <c r="N10" i="2"/>
  <c r="M12" i="2"/>
  <c r="N9" i="2"/>
  <c r="F31" i="9"/>
  <c r="H31" i="9"/>
  <c r="G31" i="9"/>
  <c r="R63" i="5" l="1"/>
  <c r="Q71" i="2"/>
  <c r="M22" i="2"/>
  <c r="M143" i="2"/>
  <c r="L41" i="1"/>
  <c r="N14" i="5" s="1"/>
  <c r="N12" i="5" s="1"/>
  <c r="M85" i="2" s="1"/>
  <c r="N41" i="1"/>
  <c r="P14" i="5" s="1"/>
  <c r="P12" i="5" s="1"/>
  <c r="O108" i="2" s="1"/>
  <c r="L20" i="9" s="1"/>
  <c r="P41" i="1"/>
  <c r="R14" i="5" s="1"/>
  <c r="R12" i="5" s="1"/>
  <c r="Q85" i="2" s="1"/>
  <c r="O41" i="1"/>
  <c r="Q14" i="5" s="1"/>
  <c r="Q12" i="5" s="1"/>
  <c r="P108" i="2" s="1"/>
  <c r="M20" i="9" s="1"/>
  <c r="N71" i="2"/>
  <c r="M71" i="2"/>
  <c r="M41" i="1"/>
  <c r="O14" i="5" s="1"/>
  <c r="O12" i="5" s="1"/>
  <c r="O71" i="2"/>
  <c r="P71" i="2"/>
  <c r="P63" i="5"/>
  <c r="K26" i="7"/>
  <c r="K25" i="7"/>
  <c r="I26" i="7"/>
  <c r="I25" i="7"/>
  <c r="J26" i="7"/>
  <c r="J27" i="7" s="1"/>
  <c r="M26" i="7"/>
  <c r="M27" i="7" s="1"/>
  <c r="L26" i="7"/>
  <c r="M79" i="2"/>
  <c r="M145" i="2" s="1"/>
  <c r="N79" i="2"/>
  <c r="N145" i="2" s="1"/>
  <c r="O79" i="2"/>
  <c r="O145" i="2" s="1"/>
  <c r="P79" i="2"/>
  <c r="P145" i="2" s="1"/>
  <c r="Q79" i="2"/>
  <c r="Q145" i="2" s="1"/>
  <c r="Q63" i="5"/>
  <c r="O97" i="2"/>
  <c r="Q96" i="2"/>
  <c r="P96" i="2"/>
  <c r="Q94" i="2"/>
  <c r="P94" i="2"/>
  <c r="O93" i="2"/>
  <c r="P92" i="2"/>
  <c r="Q92" i="2"/>
  <c r="P90" i="2"/>
  <c r="Q90" i="2"/>
  <c r="N63" i="5"/>
  <c r="J21" i="4"/>
  <c r="O23" i="2" s="1"/>
  <c r="M86" i="2"/>
  <c r="M81" i="2"/>
  <c r="M21" i="2"/>
  <c r="M20" i="2"/>
  <c r="N65" i="5" s="1"/>
  <c r="P91" i="2"/>
  <c r="Q91" i="2"/>
  <c r="O10" i="2"/>
  <c r="N12" i="2"/>
  <c r="O9" i="2"/>
  <c r="J107" i="2"/>
  <c r="G18" i="9" s="1"/>
  <c r="J130" i="2" s="1"/>
  <c r="K107" i="2"/>
  <c r="H18" i="9" s="1"/>
  <c r="K130" i="2" s="1"/>
  <c r="L107" i="2"/>
  <c r="I18" i="9" s="1"/>
  <c r="L130" i="2" s="1"/>
  <c r="I107" i="2"/>
  <c r="F18" i="9" s="1"/>
  <c r="I8" i="5"/>
  <c r="S4" i="1"/>
  <c r="T4" i="1"/>
  <c r="U4" i="1"/>
  <c r="V4" i="1"/>
  <c r="R4" i="1"/>
  <c r="H30" i="5"/>
  <c r="H6" i="5"/>
  <c r="H19" i="5" s="1"/>
  <c r="C97" i="2"/>
  <c r="H97" i="2"/>
  <c r="I97" i="2"/>
  <c r="J97" i="2"/>
  <c r="K97" i="2"/>
  <c r="L97" i="2"/>
  <c r="I90" i="2"/>
  <c r="J90" i="2"/>
  <c r="K90" i="2"/>
  <c r="L90" i="2"/>
  <c r="I91" i="2"/>
  <c r="J91" i="2"/>
  <c r="K91" i="2"/>
  <c r="L91" i="2"/>
  <c r="I92" i="2"/>
  <c r="J92" i="2"/>
  <c r="K92" i="2"/>
  <c r="L92" i="2"/>
  <c r="I93" i="2"/>
  <c r="J93" i="2"/>
  <c r="K93" i="2"/>
  <c r="L93" i="2"/>
  <c r="I94" i="2"/>
  <c r="J94" i="2"/>
  <c r="K94" i="2"/>
  <c r="L94" i="2"/>
  <c r="I95" i="2"/>
  <c r="J95" i="2"/>
  <c r="K95" i="2"/>
  <c r="L95" i="2"/>
  <c r="I96" i="2"/>
  <c r="J96" i="2"/>
  <c r="K96" i="2"/>
  <c r="L96" i="2"/>
  <c r="H91" i="2"/>
  <c r="H92" i="2"/>
  <c r="H93" i="2"/>
  <c r="H94" i="2"/>
  <c r="H95" i="2"/>
  <c r="H96" i="2"/>
  <c r="H90" i="2"/>
  <c r="C91" i="2"/>
  <c r="C92" i="2"/>
  <c r="C93" i="2"/>
  <c r="C94" i="2"/>
  <c r="C95" i="2"/>
  <c r="C96" i="2"/>
  <c r="C90" i="2"/>
  <c r="G5" i="1"/>
  <c r="D4" i="7" s="1"/>
  <c r="D6" i="7"/>
  <c r="D10" i="7"/>
  <c r="D11" i="7"/>
  <c r="D12" i="7"/>
  <c r="D13" i="7"/>
  <c r="D17" i="7"/>
  <c r="D18" i="7"/>
  <c r="D22" i="7"/>
  <c r="I10" i="2"/>
  <c r="J10" i="2"/>
  <c r="K10" i="2"/>
  <c r="L10" i="2"/>
  <c r="H10" i="2"/>
  <c r="I9" i="2"/>
  <c r="J9" i="2"/>
  <c r="K9" i="2"/>
  <c r="L9" i="2"/>
  <c r="H9" i="2"/>
  <c r="D21" i="4"/>
  <c r="I23" i="2" s="1"/>
  <c r="J23" i="2"/>
  <c r="F21" i="4"/>
  <c r="K23" i="2" s="1"/>
  <c r="G21" i="4"/>
  <c r="L23" i="2" s="1"/>
  <c r="C21" i="4"/>
  <c r="H23" i="2" s="1"/>
  <c r="D20" i="4"/>
  <c r="E20" i="4"/>
  <c r="F20" i="4"/>
  <c r="G20" i="4"/>
  <c r="C20" i="4"/>
  <c r="I31" i="2"/>
  <c r="J31" i="2"/>
  <c r="K31" i="2"/>
  <c r="L31" i="2"/>
  <c r="H31" i="2"/>
  <c r="I30" i="2"/>
  <c r="J30" i="2"/>
  <c r="K30" i="2"/>
  <c r="L30" i="2"/>
  <c r="H30" i="2"/>
  <c r="I29" i="2"/>
  <c r="J17" i="5" s="1"/>
  <c r="J16" i="5" s="1"/>
  <c r="J29" i="2"/>
  <c r="K17" i="5" s="1"/>
  <c r="K16" i="5" s="1"/>
  <c r="K29" i="2"/>
  <c r="L17" i="5" s="1"/>
  <c r="L16" i="5" s="1"/>
  <c r="L29" i="2"/>
  <c r="M17" i="5" s="1"/>
  <c r="M16" i="5" s="1"/>
  <c r="J21" i="9" s="1"/>
  <c r="H29" i="2"/>
  <c r="I17" i="5" s="1"/>
  <c r="I16" i="5" s="1"/>
  <c r="E21" i="9" s="1"/>
  <c r="K19" i="9" l="1"/>
  <c r="N86" i="2"/>
  <c r="N143" i="2"/>
  <c r="M128" i="2"/>
  <c r="M129" i="2" s="1"/>
  <c r="M132" i="2" s="1"/>
  <c r="M146" i="2"/>
  <c r="N128" i="2"/>
  <c r="N129" i="2" s="1"/>
  <c r="N132" i="2" s="1"/>
  <c r="N146" i="2"/>
  <c r="P128" i="2"/>
  <c r="P129" i="2" s="1"/>
  <c r="P132" i="2" s="1"/>
  <c r="P146" i="2"/>
  <c r="O128" i="2"/>
  <c r="O129" i="2" s="1"/>
  <c r="O132" i="2" s="1"/>
  <c r="O146" i="2"/>
  <c r="Q128" i="2"/>
  <c r="Q129" i="2" s="1"/>
  <c r="Q132" i="2" s="1"/>
  <c r="Q146" i="2"/>
  <c r="Q108" i="2"/>
  <c r="N20" i="9" s="1"/>
  <c r="M108" i="2"/>
  <c r="J20" i="9" s="1"/>
  <c r="O85" i="2"/>
  <c r="P85" i="2"/>
  <c r="D21" i="7"/>
  <c r="D7" i="7"/>
  <c r="N19" i="9"/>
  <c r="M19" i="9"/>
  <c r="M23" i="9" s="1"/>
  <c r="P154" i="2" s="1"/>
  <c r="D19" i="7"/>
  <c r="D8" i="7"/>
  <c r="D14" i="7"/>
  <c r="D20" i="7"/>
  <c r="D5" i="7"/>
  <c r="H74" i="2"/>
  <c r="H76" i="2" s="1"/>
  <c r="I27" i="7"/>
  <c r="M14" i="2" s="1"/>
  <c r="J9" i="9" s="1"/>
  <c r="K27" i="7"/>
  <c r="O14" i="2" s="1"/>
  <c r="L9" i="9" s="1"/>
  <c r="N85" i="2"/>
  <c r="L19" i="9"/>
  <c r="L23" i="9" s="1"/>
  <c r="O154" i="2" s="1"/>
  <c r="N108" i="2"/>
  <c r="K20" i="9" s="1"/>
  <c r="K23" i="9" s="1"/>
  <c r="N154" i="2" s="1"/>
  <c r="Q14" i="2"/>
  <c r="N9" i="9" s="1"/>
  <c r="N14" i="2"/>
  <c r="K9" i="9" s="1"/>
  <c r="O99" i="2"/>
  <c r="O148" i="2" s="1"/>
  <c r="D16" i="7"/>
  <c r="D15" i="7"/>
  <c r="D9" i="7"/>
  <c r="L27" i="7"/>
  <c r="O12" i="2"/>
  <c r="Q97" i="2"/>
  <c r="P97" i="2"/>
  <c r="Q93" i="2"/>
  <c r="P93" i="2"/>
  <c r="M25" i="2"/>
  <c r="M88" i="2"/>
  <c r="K21" i="4"/>
  <c r="P23" i="2" s="1"/>
  <c r="L21" i="4"/>
  <c r="Q23" i="2" s="1"/>
  <c r="N81" i="2"/>
  <c r="N20" i="2"/>
  <c r="O65" i="5" s="1"/>
  <c r="N22" i="2"/>
  <c r="N21" i="2"/>
  <c r="Q10" i="2"/>
  <c r="P10" i="2"/>
  <c r="P9" i="2"/>
  <c r="G39" i="1"/>
  <c r="F21" i="9"/>
  <c r="G21" i="9"/>
  <c r="I21" i="9"/>
  <c r="H21" i="9"/>
  <c r="E17" i="9"/>
  <c r="F17" i="9"/>
  <c r="I130" i="2" s="1"/>
  <c r="H107" i="2"/>
  <c r="E18" i="9" s="1"/>
  <c r="H130" i="2" s="1"/>
  <c r="L99" i="2"/>
  <c r="L148" i="2" s="1"/>
  <c r="I99" i="2"/>
  <c r="I148" i="2" s="1"/>
  <c r="H99" i="2"/>
  <c r="H148" i="2" s="1"/>
  <c r="K99" i="2"/>
  <c r="K148" i="2" s="1"/>
  <c r="J99" i="2"/>
  <c r="J148" i="2" s="1"/>
  <c r="H31" i="5"/>
  <c r="I12" i="2"/>
  <c r="I143" i="2" s="1"/>
  <c r="K12" i="2"/>
  <c r="J12" i="2"/>
  <c r="J143" i="2" s="1"/>
  <c r="H12" i="2"/>
  <c r="H143" i="2" s="1"/>
  <c r="L12" i="2"/>
  <c r="L143" i="2" s="1"/>
  <c r="L33" i="2"/>
  <c r="K33" i="2"/>
  <c r="J33" i="2"/>
  <c r="I33" i="2"/>
  <c r="K20" i="2" l="1"/>
  <c r="K143" i="2"/>
  <c r="O81" i="2"/>
  <c r="O143" i="2"/>
  <c r="N23" i="9"/>
  <c r="Q154" i="2" s="1"/>
  <c r="D24" i="7"/>
  <c r="D25" i="7" s="1"/>
  <c r="G40" i="1"/>
  <c r="I13" i="5" s="1"/>
  <c r="N88" i="2"/>
  <c r="O21" i="5" s="1"/>
  <c r="O20" i="2"/>
  <c r="P65" i="5" s="1"/>
  <c r="O86" i="2"/>
  <c r="O21" i="2"/>
  <c r="O22" i="2"/>
  <c r="P14" i="2"/>
  <c r="M9" i="9" s="1"/>
  <c r="P99" i="2"/>
  <c r="P148" i="2" s="1"/>
  <c r="Q99" i="2"/>
  <c r="Q148" i="2" s="1"/>
  <c r="N21" i="5"/>
  <c r="M101" i="2"/>
  <c r="N25" i="2"/>
  <c r="Q9" i="2"/>
  <c r="Q12" i="2" s="1"/>
  <c r="Q143" i="2" s="1"/>
  <c r="P12" i="2"/>
  <c r="H84" i="2"/>
  <c r="H82" i="2"/>
  <c r="H83" i="2"/>
  <c r="H34" i="5"/>
  <c r="L65" i="5"/>
  <c r="I86" i="2"/>
  <c r="I81" i="2"/>
  <c r="L21" i="2"/>
  <c r="L86" i="2"/>
  <c r="L81" i="2"/>
  <c r="H21" i="2"/>
  <c r="H81" i="2"/>
  <c r="H86" i="2"/>
  <c r="I22" i="2"/>
  <c r="J21" i="2"/>
  <c r="J81" i="2"/>
  <c r="J86" i="2"/>
  <c r="K81" i="2"/>
  <c r="K86" i="2"/>
  <c r="K22" i="2"/>
  <c r="K21" i="2"/>
  <c r="I20" i="2"/>
  <c r="J65" i="5" s="1"/>
  <c r="I21" i="2"/>
  <c r="J20" i="2"/>
  <c r="K65" i="5" s="1"/>
  <c r="J22" i="2"/>
  <c r="L22" i="2"/>
  <c r="L20" i="2"/>
  <c r="M65" i="5" s="1"/>
  <c r="H22" i="2"/>
  <c r="H20" i="2"/>
  <c r="I65" i="5" s="1"/>
  <c r="O25" i="2" l="1"/>
  <c r="P22" i="2"/>
  <c r="P143" i="2"/>
  <c r="O88" i="2"/>
  <c r="O101" i="2" s="1"/>
  <c r="D26" i="7"/>
  <c r="D27" i="7" s="1"/>
  <c r="H14" i="2" s="1"/>
  <c r="I7" i="5" s="1"/>
  <c r="G41" i="1"/>
  <c r="I14" i="5" s="1"/>
  <c r="I12" i="5" s="1"/>
  <c r="E19" i="9" s="1"/>
  <c r="N101" i="2"/>
  <c r="K25" i="2"/>
  <c r="Q21" i="2"/>
  <c r="P21" i="2"/>
  <c r="Q22" i="2"/>
  <c r="Q81" i="2"/>
  <c r="Q20" i="2"/>
  <c r="R65" i="5" s="1"/>
  <c r="Q86" i="2"/>
  <c r="P20" i="2"/>
  <c r="Q65" i="5" s="1"/>
  <c r="P86" i="2"/>
  <c r="P81" i="2"/>
  <c r="D29" i="7"/>
  <c r="J25" i="2"/>
  <c r="L25" i="2"/>
  <c r="I25" i="2"/>
  <c r="H25" i="2"/>
  <c r="P21" i="5" l="1"/>
  <c r="E9" i="9"/>
  <c r="H108" i="2"/>
  <c r="H110" i="2" s="1"/>
  <c r="E8" i="9" s="1"/>
  <c r="H85" i="2"/>
  <c r="H88" i="2" s="1"/>
  <c r="I21" i="5" s="1"/>
  <c r="P88" i="2"/>
  <c r="P101" i="2" s="1"/>
  <c r="D31" i="7"/>
  <c r="H124" i="2" s="1"/>
  <c r="I25" i="5" s="1"/>
  <c r="Q88" i="2"/>
  <c r="R21" i="5" s="1"/>
  <c r="P25" i="2"/>
  <c r="Q25" i="2"/>
  <c r="I6" i="5"/>
  <c r="I19" i="5" s="1"/>
  <c r="H16" i="2"/>
  <c r="H18" i="2" s="1"/>
  <c r="H27" i="2" s="1"/>
  <c r="H70" i="2"/>
  <c r="E20" i="9" l="1"/>
  <c r="E23" i="9" s="1"/>
  <c r="H154" i="2" s="1"/>
  <c r="Q21" i="5"/>
  <c r="Q101" i="2"/>
  <c r="H73" i="2"/>
  <c r="I106" i="2"/>
  <c r="H72" i="2"/>
  <c r="H77" i="2"/>
  <c r="H75" i="2" s="1"/>
  <c r="H35" i="2"/>
  <c r="C35" i="2"/>
  <c r="F6" i="7"/>
  <c r="G6" i="7"/>
  <c r="H6" i="7"/>
  <c r="F10" i="7"/>
  <c r="G10" i="7"/>
  <c r="H10" i="7"/>
  <c r="F11" i="7"/>
  <c r="G11" i="7"/>
  <c r="H11" i="7"/>
  <c r="F12" i="7"/>
  <c r="G12" i="7"/>
  <c r="H12" i="7"/>
  <c r="F13" i="7"/>
  <c r="G13" i="7"/>
  <c r="H13" i="7"/>
  <c r="F17" i="7"/>
  <c r="G17" i="7"/>
  <c r="H17" i="7"/>
  <c r="F18" i="7"/>
  <c r="G18" i="7"/>
  <c r="H18" i="7"/>
  <c r="F22" i="7"/>
  <c r="G22" i="7"/>
  <c r="H22" i="7"/>
  <c r="H2" i="1"/>
  <c r="E6" i="7" s="1"/>
  <c r="E22" i="7" l="1"/>
  <c r="E18" i="7"/>
  <c r="E13" i="7"/>
  <c r="E9" i="7"/>
  <c r="E17" i="7"/>
  <c r="E12" i="7"/>
  <c r="E10" i="7"/>
  <c r="E8" i="7"/>
  <c r="E5" i="7"/>
  <c r="E20" i="7"/>
  <c r="E11" i="7"/>
  <c r="G21" i="7"/>
  <c r="G7" i="7"/>
  <c r="F21" i="7"/>
  <c r="F7" i="7"/>
  <c r="H21" i="7"/>
  <c r="H7" i="7"/>
  <c r="E21" i="7"/>
  <c r="G20" i="7"/>
  <c r="H19" i="7"/>
  <c r="H14" i="7"/>
  <c r="H8" i="7"/>
  <c r="H5" i="7"/>
  <c r="L74" i="2"/>
  <c r="L76" i="2" s="1"/>
  <c r="F20" i="7"/>
  <c r="G19" i="7"/>
  <c r="G14" i="7"/>
  <c r="G8" i="7"/>
  <c r="G5" i="7"/>
  <c r="K74" i="2"/>
  <c r="K76" i="2" s="1"/>
  <c r="H20" i="7"/>
  <c r="F19" i="7"/>
  <c r="F14" i="7"/>
  <c r="F8" i="7"/>
  <c r="F5" i="7"/>
  <c r="J74" i="2"/>
  <c r="J76" i="2" s="1"/>
  <c r="E19" i="7"/>
  <c r="H79" i="2"/>
  <c r="I63" i="5"/>
  <c r="H71" i="2"/>
  <c r="H16" i="7"/>
  <c r="G16" i="7"/>
  <c r="F16" i="7"/>
  <c r="H15" i="7"/>
  <c r="G15" i="7"/>
  <c r="F15" i="7"/>
  <c r="E15" i="7"/>
  <c r="H9" i="7"/>
  <c r="G9" i="7"/>
  <c r="F9" i="7"/>
  <c r="H4" i="7"/>
  <c r="K39" i="1"/>
  <c r="L70" i="2"/>
  <c r="G4" i="7"/>
  <c r="J39" i="1"/>
  <c r="K70" i="2"/>
  <c r="F4" i="7"/>
  <c r="I39" i="1"/>
  <c r="J70" i="2"/>
  <c r="L2" i="2"/>
  <c r="L142" i="2" s="1"/>
  <c r="K2" i="2"/>
  <c r="K142" i="2" s="1"/>
  <c r="J2" i="2"/>
  <c r="J142" i="2" s="1"/>
  <c r="I2" i="2"/>
  <c r="I142" i="2" s="1"/>
  <c r="H2" i="2"/>
  <c r="H142" i="2" s="1"/>
  <c r="E14" i="7" l="1"/>
  <c r="E7" i="7"/>
  <c r="I72" i="2"/>
  <c r="E4" i="7"/>
  <c r="H39" i="1"/>
  <c r="I82" i="2" s="1"/>
  <c r="H40" i="1"/>
  <c r="J13" i="5" s="1"/>
  <c r="I74" i="2"/>
  <c r="I76" i="2" s="1"/>
  <c r="K40" i="1"/>
  <c r="M13" i="5" s="1"/>
  <c r="E16" i="7"/>
  <c r="E24" i="7" s="1"/>
  <c r="E25" i="7" s="1"/>
  <c r="H128" i="2"/>
  <c r="H129" i="2" s="1"/>
  <c r="H132" i="2" s="1"/>
  <c r="H146" i="2"/>
  <c r="H101" i="2"/>
  <c r="H145" i="2"/>
  <c r="I40" i="1"/>
  <c r="K13" i="5" s="1"/>
  <c r="J40" i="1"/>
  <c r="L13" i="5" s="1"/>
  <c r="H24" i="7"/>
  <c r="H25" i="7" s="1"/>
  <c r="L72" i="2"/>
  <c r="M63" i="5" s="1"/>
  <c r="G24" i="7"/>
  <c r="G25" i="7" s="1"/>
  <c r="F24" i="7"/>
  <c r="F26" i="7" s="1"/>
  <c r="J73" i="2"/>
  <c r="L73" i="2"/>
  <c r="K73" i="2"/>
  <c r="L84" i="2"/>
  <c r="L82" i="2"/>
  <c r="L83" i="2"/>
  <c r="J82" i="2"/>
  <c r="J83" i="2"/>
  <c r="J84" i="2"/>
  <c r="L77" i="2"/>
  <c r="L75" i="2" s="1"/>
  <c r="J72" i="2"/>
  <c r="J77" i="2"/>
  <c r="J75" i="2" s="1"/>
  <c r="K72" i="2"/>
  <c r="K77" i="2"/>
  <c r="K75" i="2" s="1"/>
  <c r="K84" i="2"/>
  <c r="K82" i="2"/>
  <c r="K83" i="2"/>
  <c r="I84" i="2" l="1"/>
  <c r="I83" i="2"/>
  <c r="I73" i="2"/>
  <c r="I77" i="2"/>
  <c r="I75" i="2" s="1"/>
  <c r="K41" i="1"/>
  <c r="M14" i="5" s="1"/>
  <c r="M12" i="5" s="1"/>
  <c r="J19" i="9" s="1"/>
  <c r="J23" i="9" s="1"/>
  <c r="M154" i="2" s="1"/>
  <c r="J41" i="1"/>
  <c r="L14" i="5" s="1"/>
  <c r="L12" i="5" s="1"/>
  <c r="K85" i="2" s="1"/>
  <c r="K88" i="2" s="1"/>
  <c r="L21" i="5" s="1"/>
  <c r="H41" i="1"/>
  <c r="J14" i="5" s="1"/>
  <c r="J12" i="5" s="1"/>
  <c r="F19" i="9" s="1"/>
  <c r="I41" i="1"/>
  <c r="K14" i="5" s="1"/>
  <c r="K12" i="5" s="1"/>
  <c r="J108" i="2" s="1"/>
  <c r="G20" i="9" s="1"/>
  <c r="L71" i="2"/>
  <c r="H26" i="7"/>
  <c r="H27" i="7" s="1"/>
  <c r="E26" i="7"/>
  <c r="E27" i="7" s="1"/>
  <c r="G26" i="7"/>
  <c r="G27" i="7" s="1"/>
  <c r="K63" i="5"/>
  <c r="J71" i="2"/>
  <c r="J63" i="5"/>
  <c r="I71" i="2"/>
  <c r="L63" i="5"/>
  <c r="K71" i="2"/>
  <c r="F25" i="7"/>
  <c r="F27" i="7" s="1"/>
  <c r="J145" i="2"/>
  <c r="L79" i="2"/>
  <c r="L145" i="2" s="1"/>
  <c r="K79" i="2"/>
  <c r="K145" i="2" s="1"/>
  <c r="I19" i="9" l="1"/>
  <c r="L85" i="2"/>
  <c r="L88" i="2" s="1"/>
  <c r="M21" i="5" s="1"/>
  <c r="L108" i="2"/>
  <c r="I20" i="9" s="1"/>
  <c r="K108" i="2"/>
  <c r="H20" i="9" s="1"/>
  <c r="I79" i="2"/>
  <c r="I145" i="2" s="1"/>
  <c r="K128" i="2"/>
  <c r="K129" i="2" s="1"/>
  <c r="K132" i="2" s="1"/>
  <c r="K146" i="2"/>
  <c r="L128" i="2"/>
  <c r="L129" i="2" s="1"/>
  <c r="L132" i="2" s="1"/>
  <c r="L146" i="2"/>
  <c r="I128" i="2"/>
  <c r="I129" i="2" s="1"/>
  <c r="I132" i="2" s="1"/>
  <c r="I146" i="2"/>
  <c r="J128" i="2"/>
  <c r="J129" i="2" s="1"/>
  <c r="J132" i="2" s="1"/>
  <c r="J146" i="2"/>
  <c r="I108" i="2"/>
  <c r="I110" i="2" s="1"/>
  <c r="F8" i="9" s="1"/>
  <c r="I85" i="2"/>
  <c r="I88" i="2" s="1"/>
  <c r="J21" i="5" s="1"/>
  <c r="H19" i="9"/>
  <c r="J85" i="2"/>
  <c r="J88" i="2" s="1"/>
  <c r="K21" i="5" s="1"/>
  <c r="G19" i="9"/>
  <c r="G23" i="9" s="1"/>
  <c r="J154" i="2" s="1"/>
  <c r="J14" i="2"/>
  <c r="G9" i="9" s="1"/>
  <c r="K14" i="2"/>
  <c r="H9" i="9" s="1"/>
  <c r="E29" i="7"/>
  <c r="E31" i="7" s="1"/>
  <c r="I124" i="2" s="1"/>
  <c r="J25" i="5" s="1"/>
  <c r="I14" i="2"/>
  <c r="L14" i="2"/>
  <c r="I9" i="9" s="1"/>
  <c r="K101" i="2"/>
  <c r="L101" i="2" l="1"/>
  <c r="I23" i="9"/>
  <c r="L154" i="2" s="1"/>
  <c r="F20" i="9"/>
  <c r="F23" i="9" s="1"/>
  <c r="I154" i="2" s="1"/>
  <c r="H23" i="9"/>
  <c r="K154" i="2" s="1"/>
  <c r="I16" i="2"/>
  <c r="I18" i="2" s="1"/>
  <c r="I27" i="2" s="1"/>
  <c r="J101" i="2"/>
  <c r="I101" i="2"/>
  <c r="J7" i="5"/>
  <c r="J106" i="2" s="1"/>
  <c r="J110" i="2" s="1"/>
  <c r="G8" i="9" s="1"/>
  <c r="F9" i="9"/>
  <c r="J16" i="2"/>
  <c r="J18" i="2" s="1"/>
  <c r="J27" i="2" s="1"/>
  <c r="F29" i="7"/>
  <c r="F31" i="7" s="1"/>
  <c r="K15" i="2"/>
  <c r="K16" i="2" s="1"/>
  <c r="K18" i="2" s="1"/>
  <c r="K27" i="2" s="1"/>
  <c r="K104" i="2" s="1"/>
  <c r="K103" i="2" s="1"/>
  <c r="I104" i="2" l="1"/>
  <c r="I112" i="2" s="1"/>
  <c r="I117" i="2" s="1"/>
  <c r="I122" i="2" s="1"/>
  <c r="J104" i="2"/>
  <c r="J112" i="2" s="1"/>
  <c r="J117" i="2" s="1"/>
  <c r="J122" i="2" s="1"/>
  <c r="J6" i="5"/>
  <c r="J19" i="5" s="1"/>
  <c r="J124" i="2"/>
  <c r="K25" i="5" s="1"/>
  <c r="G29" i="7"/>
  <c r="K7" i="5"/>
  <c r="L15" i="2"/>
  <c r="L16" i="2" s="1"/>
  <c r="L18" i="2" s="1"/>
  <c r="L27" i="2" s="1"/>
  <c r="L104" i="2" s="1"/>
  <c r="I103" i="2" l="1"/>
  <c r="J103" i="2"/>
  <c r="L103" i="2"/>
  <c r="K23" i="5"/>
  <c r="K67" i="5"/>
  <c r="K70" i="5" s="1"/>
  <c r="I126" i="2"/>
  <c r="J23" i="5"/>
  <c r="J67" i="5"/>
  <c r="J70" i="5" s="1"/>
  <c r="M15" i="2"/>
  <c r="M16" i="2" s="1"/>
  <c r="M18" i="2" s="1"/>
  <c r="M27" i="2" s="1"/>
  <c r="M104" i="2" s="1"/>
  <c r="K106" i="2"/>
  <c r="K110" i="2" s="1"/>
  <c r="K6" i="5"/>
  <c r="K19" i="5" s="1"/>
  <c r="G31" i="7"/>
  <c r="K124" i="2" s="1"/>
  <c r="L25" i="5" s="1"/>
  <c r="H29" i="7"/>
  <c r="H31" i="7" s="1"/>
  <c r="F6" i="9" l="1"/>
  <c r="F11" i="9" s="1"/>
  <c r="I150" i="2"/>
  <c r="M103" i="2"/>
  <c r="J74" i="5"/>
  <c r="K74" i="5"/>
  <c r="L124" i="2"/>
  <c r="M25" i="5" s="1"/>
  <c r="I29" i="7"/>
  <c r="N15" i="2"/>
  <c r="N16" i="2" s="1"/>
  <c r="N18" i="2" s="1"/>
  <c r="N27" i="2" s="1"/>
  <c r="N104" i="2" s="1"/>
  <c r="J48" i="5"/>
  <c r="L7" i="5"/>
  <c r="L106" i="2" s="1"/>
  <c r="L110" i="2" s="1"/>
  <c r="J126" i="2"/>
  <c r="J150" i="2" s="1"/>
  <c r="H8" i="9"/>
  <c r="K112" i="2"/>
  <c r="K117" i="2" s="1"/>
  <c r="K122" i="2" s="1"/>
  <c r="N103" i="2" l="1"/>
  <c r="G13" i="9"/>
  <c r="J29" i="7"/>
  <c r="I31" i="7"/>
  <c r="M124" i="2" s="1"/>
  <c r="N25" i="5" s="1"/>
  <c r="O15" i="2"/>
  <c r="O16" i="2" s="1"/>
  <c r="O18" i="2" s="1"/>
  <c r="O27" i="2" s="1"/>
  <c r="O104" i="2" s="1"/>
  <c r="L6" i="5"/>
  <c r="L19" i="5" s="1"/>
  <c r="M7" i="5"/>
  <c r="K48" i="5"/>
  <c r="G6" i="9"/>
  <c r="G11" i="9" s="1"/>
  <c r="I8" i="9"/>
  <c r="L112" i="2"/>
  <c r="L117" i="2" s="1"/>
  <c r="L122" i="2" s="1"/>
  <c r="L123" i="2" s="1"/>
  <c r="G15" i="9" l="1"/>
  <c r="O103" i="2"/>
  <c r="P15" i="2"/>
  <c r="P16" i="2" s="1"/>
  <c r="P18" i="2" s="1"/>
  <c r="P27" i="2" s="1"/>
  <c r="P104" i="2" s="1"/>
  <c r="K29" i="7"/>
  <c r="J31" i="7"/>
  <c r="N124" i="2" s="1"/>
  <c r="M6" i="5"/>
  <c r="M19" i="5" s="1"/>
  <c r="M106" i="2"/>
  <c r="M110" i="2" s="1"/>
  <c r="G25" i="9" l="1"/>
  <c r="F5" i="10" s="1"/>
  <c r="F6" i="10" s="1"/>
  <c r="J152" i="2"/>
  <c r="P103" i="2"/>
  <c r="M23" i="5"/>
  <c r="M67" i="5"/>
  <c r="M70" i="5" s="1"/>
  <c r="Q15" i="2"/>
  <c r="Q16" i="2" s="1"/>
  <c r="Q18" i="2" s="1"/>
  <c r="Q27" i="2" s="1"/>
  <c r="Q104" i="2" s="1"/>
  <c r="L126" i="2"/>
  <c r="M112" i="2"/>
  <c r="M117" i="2" s="1"/>
  <c r="M122" i="2" s="1"/>
  <c r="M123" i="2" s="1"/>
  <c r="J8" i="9"/>
  <c r="N7" i="5"/>
  <c r="O25" i="5"/>
  <c r="L29" i="7"/>
  <c r="K31" i="7"/>
  <c r="O124" i="2" s="1"/>
  <c r="G33" i="9" l="1"/>
  <c r="G36" i="9" s="1"/>
  <c r="I6" i="9"/>
  <c r="I11" i="9" s="1"/>
  <c r="L150" i="2"/>
  <c r="Q103" i="2"/>
  <c r="M74" i="5"/>
  <c r="N23" i="5"/>
  <c r="N67" i="5"/>
  <c r="N70" i="5" s="1"/>
  <c r="M126" i="2"/>
  <c r="N6" i="5"/>
  <c r="N19" i="5" s="1"/>
  <c r="N106" i="2"/>
  <c r="N110" i="2" s="1"/>
  <c r="P25" i="5"/>
  <c r="L31" i="7"/>
  <c r="P124" i="2" s="1"/>
  <c r="M29" i="7"/>
  <c r="M31" i="7" s="1"/>
  <c r="Q124" i="2" s="1"/>
  <c r="M48" i="5"/>
  <c r="J158" i="2" l="1"/>
  <c r="N48" i="5"/>
  <c r="M150" i="2"/>
  <c r="N74" i="5"/>
  <c r="J13" i="9" s="1"/>
  <c r="J6" i="9"/>
  <c r="J11" i="9" s="1"/>
  <c r="N112" i="2"/>
  <c r="N117" i="2" s="1"/>
  <c r="N122" i="2" s="1"/>
  <c r="N123" i="2" s="1"/>
  <c r="K8" i="9"/>
  <c r="O7" i="5"/>
  <c r="R25" i="5"/>
  <c r="Q25" i="5"/>
  <c r="J15" i="9" l="1"/>
  <c r="O6" i="5"/>
  <c r="O19" i="5" s="1"/>
  <c r="O106" i="2"/>
  <c r="O110" i="2" s="1"/>
  <c r="J25" i="9" l="1"/>
  <c r="J33" i="9" s="1"/>
  <c r="M152" i="2"/>
  <c r="O112" i="2"/>
  <c r="O117" i="2" s="1"/>
  <c r="O122" i="2" s="1"/>
  <c r="O123" i="2" s="1"/>
  <c r="L8" i="9"/>
  <c r="P7" i="5"/>
  <c r="I5" i="10" l="1"/>
  <c r="I6" i="10" s="1"/>
  <c r="J36" i="9"/>
  <c r="M158" i="2"/>
  <c r="P23" i="5"/>
  <c r="P67" i="5"/>
  <c r="O126" i="2"/>
  <c r="O150" i="2" s="1"/>
  <c r="P6" i="5"/>
  <c r="P19" i="5" s="1"/>
  <c r="P106" i="2"/>
  <c r="P110" i="2" s="1"/>
  <c r="P70" i="5" l="1"/>
  <c r="P74" i="5" s="1"/>
  <c r="P112" i="2"/>
  <c r="P117" i="2" s="1"/>
  <c r="P122" i="2" s="1"/>
  <c r="M8" i="9"/>
  <c r="P48" i="5"/>
  <c r="L6" i="9"/>
  <c r="L11" i="9" s="1"/>
  <c r="Q7" i="5"/>
  <c r="P123" i="2" l="1"/>
  <c r="Q6" i="5"/>
  <c r="Q19" i="5" s="1"/>
  <c r="Q106" i="2"/>
  <c r="Q110" i="2" s="1"/>
  <c r="Q23" i="5" l="1"/>
  <c r="Q67" i="5"/>
  <c r="Q70" i="5" s="1"/>
  <c r="R7" i="5"/>
  <c r="R6" i="5" s="1"/>
  <c r="R19" i="5" s="1"/>
  <c r="Q112" i="2"/>
  <c r="Q117" i="2" s="1"/>
  <c r="Q122" i="2" s="1"/>
  <c r="Q123" i="2" s="1"/>
  <c r="N8" i="9"/>
  <c r="P126" i="2"/>
  <c r="P150" i="2" s="1"/>
  <c r="Q74" i="5" l="1"/>
  <c r="M13" i="9" s="1"/>
  <c r="R23" i="5"/>
  <c r="R67" i="5"/>
  <c r="R70" i="5" s="1"/>
  <c r="Q48" i="5"/>
  <c r="M6" i="9"/>
  <c r="M11" i="9" s="1"/>
  <c r="Q126" i="2"/>
  <c r="Q150" i="2" s="1"/>
  <c r="R74" i="5" l="1"/>
  <c r="N13" i="9" s="1"/>
  <c r="M15" i="9"/>
  <c r="R48" i="5"/>
  <c r="N6" i="9"/>
  <c r="N11" i="9" s="1"/>
  <c r="H104" i="2"/>
  <c r="M25" i="9" l="1"/>
  <c r="M33" i="9" s="1"/>
  <c r="P152" i="2"/>
  <c r="N15" i="9"/>
  <c r="H112" i="2"/>
  <c r="L5" i="10" l="1"/>
  <c r="L6" i="10" s="1"/>
  <c r="N25" i="9"/>
  <c r="N33" i="9" s="1"/>
  <c r="Q152" i="2"/>
  <c r="M36" i="9"/>
  <c r="P158" i="2"/>
  <c r="M5" i="10"/>
  <c r="H117" i="2"/>
  <c r="H122" i="2" s="1"/>
  <c r="N36" i="9" l="1"/>
  <c r="Q158" i="2"/>
  <c r="O23" i="5"/>
  <c r="O67" i="5"/>
  <c r="O70" i="5" s="1"/>
  <c r="N126" i="2"/>
  <c r="N150" i="2" s="1"/>
  <c r="N5" i="10"/>
  <c r="D8" i="10" s="1"/>
  <c r="D9" i="10" s="1"/>
  <c r="M6" i="10"/>
  <c r="H126" i="2"/>
  <c r="K123" i="2" s="1"/>
  <c r="I67" i="5"/>
  <c r="I70" i="5" s="1"/>
  <c r="I23" i="5"/>
  <c r="K126" i="2" l="1"/>
  <c r="L67" i="5"/>
  <c r="L70" i="5" s="1"/>
  <c r="L23" i="5"/>
  <c r="I48" i="5"/>
  <c r="J47" i="5" s="1"/>
  <c r="J50" i="5" s="1"/>
  <c r="J57" i="5" s="1"/>
  <c r="J72" i="5" s="1"/>
  <c r="H150" i="2"/>
  <c r="O74" i="5"/>
  <c r="K13" i="9" s="1"/>
  <c r="O48" i="5"/>
  <c r="K6" i="9"/>
  <c r="K11" i="9" s="1"/>
  <c r="E6" i="9"/>
  <c r="E11" i="9" s="1"/>
  <c r="I74" i="5"/>
  <c r="E13" i="9" s="1"/>
  <c r="L74" i="5" l="1"/>
  <c r="K150" i="2"/>
  <c r="L48" i="5"/>
  <c r="H6" i="9"/>
  <c r="H11" i="9" s="1"/>
  <c r="K47" i="5"/>
  <c r="K50" i="5" s="1"/>
  <c r="K57" i="5" s="1"/>
  <c r="K72" i="5" s="1"/>
  <c r="I50" i="5"/>
  <c r="I57" i="5" s="1"/>
  <c r="I72" i="5" s="1"/>
  <c r="L13" i="9"/>
  <c r="L15" i="9" s="1"/>
  <c r="E15" i="9"/>
  <c r="K15" i="9"/>
  <c r="F13" i="9"/>
  <c r="F15" i="9" s="1"/>
  <c r="H13" i="9" l="1"/>
  <c r="H15" i="9" s="1"/>
  <c r="I13" i="9"/>
  <c r="I15" i="9" s="1"/>
  <c r="L47" i="5"/>
  <c r="M47" i="5" s="1"/>
  <c r="F25" i="9"/>
  <c r="F33" i="9" s="1"/>
  <c r="I152" i="2"/>
  <c r="K25" i="9"/>
  <c r="J5" i="10" s="1"/>
  <c r="J6" i="10" s="1"/>
  <c r="N152" i="2"/>
  <c r="E25" i="9"/>
  <c r="D5" i="10" s="1"/>
  <c r="D6" i="10" s="1"/>
  <c r="H152" i="2"/>
  <c r="L25" i="9"/>
  <c r="K5" i="10" s="1"/>
  <c r="K6" i="10" s="1"/>
  <c r="O152" i="2"/>
  <c r="H25" i="9" l="1"/>
  <c r="K152" i="2"/>
  <c r="L152" i="2"/>
  <c r="I25" i="9"/>
  <c r="L50" i="5"/>
  <c r="L57" i="5" s="1"/>
  <c r="L72" i="5" s="1"/>
  <c r="K33" i="9"/>
  <c r="K36" i="9" s="1"/>
  <c r="E33" i="9"/>
  <c r="E36" i="9" s="1"/>
  <c r="E37" i="9" s="1"/>
  <c r="E5" i="10"/>
  <c r="E6" i="10" s="1"/>
  <c r="L33" i="9"/>
  <c r="F36" i="9"/>
  <c r="I158" i="2"/>
  <c r="N47" i="5"/>
  <c r="M50" i="5"/>
  <c r="M57" i="5" s="1"/>
  <c r="M72" i="5" s="1"/>
  <c r="H158" i="2" l="1"/>
  <c r="I33" i="9"/>
  <c r="H5" i="10"/>
  <c r="H6" i="10" s="1"/>
  <c r="H33" i="9"/>
  <c r="G5" i="10"/>
  <c r="G6" i="10" s="1"/>
  <c r="D7" i="10" s="1"/>
  <c r="D10" i="10" s="1"/>
  <c r="D12" i="10" s="1"/>
  <c r="N158" i="2"/>
  <c r="F35" i="9"/>
  <c r="F37" i="9" s="1"/>
  <c r="I159" i="2" s="1"/>
  <c r="H159" i="2"/>
  <c r="L36" i="9"/>
  <c r="O158" i="2"/>
  <c r="I29" i="5"/>
  <c r="I30" i="5" s="1"/>
  <c r="I31" i="5" s="1"/>
  <c r="I34" i="5" s="1"/>
  <c r="N50" i="5"/>
  <c r="N57" i="5" s="1"/>
  <c r="N72" i="5" s="1"/>
  <c r="O47" i="5"/>
  <c r="D14" i="10" l="1"/>
  <c r="D13" i="10"/>
  <c r="H36" i="9"/>
  <c r="K158" i="2"/>
  <c r="I36" i="9"/>
  <c r="L158" i="2"/>
  <c r="J29" i="5"/>
  <c r="J30" i="5" s="1"/>
  <c r="J31" i="5" s="1"/>
  <c r="J34" i="5" s="1"/>
  <c r="G35" i="9"/>
  <c r="G37" i="9" s="1"/>
  <c r="J159" i="2" s="1"/>
  <c r="P47" i="5"/>
  <c r="O50" i="5"/>
  <c r="O57" i="5" s="1"/>
  <c r="O72" i="5" s="1"/>
  <c r="H35" i="9" l="1"/>
  <c r="H37" i="9" s="1"/>
  <c r="K159" i="2" s="1"/>
  <c r="K29" i="5"/>
  <c r="K30" i="5" s="1"/>
  <c r="K31" i="5" s="1"/>
  <c r="K34" i="5" s="1"/>
  <c r="Q47" i="5"/>
  <c r="P50" i="5"/>
  <c r="P57" i="5" s="1"/>
  <c r="P72" i="5" s="1"/>
  <c r="L29" i="5" l="1"/>
  <c r="L30" i="5" s="1"/>
  <c r="L31" i="5" s="1"/>
  <c r="L34" i="5" s="1"/>
  <c r="I35" i="9"/>
  <c r="I37" i="9" s="1"/>
  <c r="L159" i="2" s="1"/>
  <c r="R47" i="5"/>
  <c r="R50" i="5" s="1"/>
  <c r="R57" i="5" s="1"/>
  <c r="R72" i="5" s="1"/>
  <c r="Q50" i="5"/>
  <c r="Q57" i="5" s="1"/>
  <c r="Q72" i="5" s="1"/>
  <c r="M29" i="5" l="1"/>
  <c r="M30" i="5" s="1"/>
  <c r="M31" i="5" s="1"/>
  <c r="M34" i="5" s="1"/>
  <c r="J35" i="9"/>
  <c r="J37" i="9" s="1"/>
  <c r="M159" i="2" s="1"/>
  <c r="N29" i="5" l="1"/>
  <c r="N30" i="5" s="1"/>
  <c r="N31" i="5" s="1"/>
  <c r="N34" i="5" s="1"/>
  <c r="K35" i="9"/>
  <c r="K37" i="9" s="1"/>
  <c r="N159" i="2" s="1"/>
  <c r="O29" i="5" l="1"/>
  <c r="O30" i="5" s="1"/>
  <c r="O31" i="5" s="1"/>
  <c r="O34" i="5" s="1"/>
  <c r="L35" i="9"/>
  <c r="L37" i="9" s="1"/>
  <c r="O159" i="2" s="1"/>
  <c r="M35" i="9" l="1"/>
  <c r="M37" i="9" s="1"/>
  <c r="P159" i="2" s="1"/>
  <c r="P29" i="5"/>
  <c r="P30" i="5" s="1"/>
  <c r="P31" i="5" s="1"/>
  <c r="P34" i="5" s="1"/>
  <c r="N35" i="9" l="1"/>
  <c r="N37" i="9" s="1"/>
  <c r="Q29" i="5"/>
  <c r="Q30" i="5" s="1"/>
  <c r="Q31" i="5" s="1"/>
  <c r="Q34" i="5" s="1"/>
  <c r="R29" i="5" l="1"/>
  <c r="R30" i="5" s="1"/>
  <c r="R31" i="5" s="1"/>
  <c r="R34" i="5" s="1"/>
  <c r="Q159" i="2"/>
</calcChain>
</file>

<file path=xl/sharedStrings.xml><?xml version="1.0" encoding="utf-8"?>
<sst xmlns="http://schemas.openxmlformats.org/spreadsheetml/2006/main" count="377" uniqueCount="307">
  <si>
    <t>CTO data scientist</t>
  </si>
  <si>
    <t>Dev + community manager</t>
  </si>
  <si>
    <t>Recherche et innovation</t>
  </si>
  <si>
    <t>Doctorant (thèse)</t>
  </si>
  <si>
    <t>Resp études transition num. RSE</t>
  </si>
  <si>
    <t>Responsable projet</t>
  </si>
  <si>
    <t>Resp études expé - transitions num.</t>
  </si>
  <si>
    <t>Resp études expé</t>
  </si>
  <si>
    <t>Date de recrutement</t>
  </si>
  <si>
    <t>Fonction</t>
  </si>
  <si>
    <t>COMPTE DE RÉSULTAT</t>
  </si>
  <si>
    <t>Total produits d'exploitation</t>
  </si>
  <si>
    <t>Total Charges Directes d'Exploitation</t>
  </si>
  <si>
    <t>Marge Directe d'Exploitation</t>
  </si>
  <si>
    <t>Loyers immobiliers</t>
  </si>
  <si>
    <t>Impôts fonciers</t>
  </si>
  <si>
    <t xml:space="preserve">Charges local </t>
  </si>
  <si>
    <t>Total coût du local</t>
  </si>
  <si>
    <t>Total coût des employés</t>
  </si>
  <si>
    <t>Honoraires comptables</t>
  </si>
  <si>
    <t>Téléphonie</t>
  </si>
  <si>
    <t>Fournitures diverses</t>
  </si>
  <si>
    <t>Frais bancaires</t>
  </si>
  <si>
    <t>Total autres achats et charges externes</t>
  </si>
  <si>
    <t>Total des coûts de marketing</t>
  </si>
  <si>
    <t>Excédent Brut d'Exploitation</t>
  </si>
  <si>
    <t>Total DAO/DAP</t>
  </si>
  <si>
    <t>Résultat d'Exploitation</t>
  </si>
  <si>
    <t>Intérêts d'emprunt</t>
  </si>
  <si>
    <t>Résultat Financier</t>
  </si>
  <si>
    <t>Résultat Courant avant Impôt</t>
  </si>
  <si>
    <t>Produits Exceptionnels</t>
  </si>
  <si>
    <t>Charges Exceptionnelles</t>
  </si>
  <si>
    <t>Résultat Exceptionnel</t>
  </si>
  <si>
    <t>Résultat net</t>
  </si>
  <si>
    <t>Salaire brut</t>
  </si>
  <si>
    <t>Augmentation salaire (/ 2021)</t>
  </si>
  <si>
    <t>Ingénieur 1</t>
  </si>
  <si>
    <t>Ingénieur 2</t>
  </si>
  <si>
    <t>Ingénieur 3</t>
  </si>
  <si>
    <t>Fonction support 1</t>
  </si>
  <si>
    <t>Fonction support 2</t>
  </si>
  <si>
    <t>Fonction support 3</t>
  </si>
  <si>
    <t>Post doc 1</t>
  </si>
  <si>
    <t>Post doc 2</t>
  </si>
  <si>
    <t>Data scientist 1</t>
  </si>
  <si>
    <t>Data scientist 2</t>
  </si>
  <si>
    <t>Dev + community manager 1</t>
  </si>
  <si>
    <t>Dev + community manager 2</t>
  </si>
  <si>
    <t>Dev + community manager 3</t>
  </si>
  <si>
    <t>Post doc 3</t>
  </si>
  <si>
    <t>Post doc 4</t>
  </si>
  <si>
    <t>Resp études transitions num. 1</t>
  </si>
  <si>
    <t>Resp études transitions num. 2</t>
  </si>
  <si>
    <t>Salaire brut personnel R&amp;D</t>
  </si>
  <si>
    <t>Salaire brut personnel non R&amp;D</t>
  </si>
  <si>
    <t>Impôts et taxes sur salaires (FPC + TA) : 1,23%</t>
  </si>
  <si>
    <t>Loyers brut du local immobiliers (/m)</t>
  </si>
  <si>
    <t>Impôts fonciers / an en nb de loyers bruts</t>
  </si>
  <si>
    <t>Charges mensuelles du local (en % du loyer)</t>
  </si>
  <si>
    <t>Prix de vente HT/an</t>
  </si>
  <si>
    <t xml:space="preserve">Nombre de clients </t>
  </si>
  <si>
    <t>Année</t>
  </si>
  <si>
    <t>XV</t>
  </si>
  <si>
    <t>Flux n°1 : XV pme, startups et mairies</t>
  </si>
  <si>
    <t>Abonnements XV : PME, startups et mairies</t>
  </si>
  <si>
    <t xml:space="preserve">1 clients XV </t>
  </si>
  <si>
    <t>particuliers</t>
  </si>
  <si>
    <t>Nombre d'utilisateurs</t>
  </si>
  <si>
    <t>Hypothèse d'utilisateurs</t>
  </si>
  <si>
    <t>Offre promotionnelles</t>
  </si>
  <si>
    <t>Coûts d'hébergements de la solution</t>
  </si>
  <si>
    <t>Offre promotionnelles (% du CA)</t>
  </si>
  <si>
    <t>Chiffre d'affaires HT</t>
  </si>
  <si>
    <t>Coûts d'hébergement web (% du CA)</t>
  </si>
  <si>
    <t>Rétrocessions €HT /1000 utilisateurs</t>
  </si>
  <si>
    <t>Commissions commerciales</t>
  </si>
  <si>
    <t>Honoraires comptables (% du CA)</t>
  </si>
  <si>
    <t>Nombre d'ETP</t>
  </si>
  <si>
    <r>
      <t xml:space="preserve">Téléphonie (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€/mois/ETP + 200 fixes)</t>
    </r>
  </si>
  <si>
    <t>Assurance RC PRO</t>
  </si>
  <si>
    <t>Assurance RC PRO / mois / ETP</t>
  </si>
  <si>
    <t>Fournitures diverses / mois / ETP</t>
  </si>
  <si>
    <t>Matériel informatique déféctueux/an (% immobilisation employés)</t>
  </si>
  <si>
    <t>Frais bancaires (% CA annuel)</t>
  </si>
  <si>
    <t>Budget Google Adwords</t>
  </si>
  <si>
    <t>Budget FB ads</t>
  </si>
  <si>
    <t>Budget Instagram ads</t>
  </si>
  <si>
    <t>Budhet Youtube</t>
  </si>
  <si>
    <t>Budget affichage</t>
  </si>
  <si>
    <t>Frais agence marketing</t>
  </si>
  <si>
    <t>Budget Marketing (annuel)</t>
  </si>
  <si>
    <t>Budget participations salons</t>
  </si>
  <si>
    <t>Total des charges indirectes d'exploitation</t>
  </si>
  <si>
    <t>Rétrocession receveurs de likes</t>
  </si>
  <si>
    <t>Bilan</t>
  </si>
  <si>
    <t>ACTIF</t>
  </si>
  <si>
    <t>Capital souscrit non appelé</t>
  </si>
  <si>
    <t>Immobilisations incorporelles</t>
  </si>
  <si>
    <t>é</t>
  </si>
  <si>
    <t>s</t>
  </si>
  <si>
    <t>Site internet et logo</t>
  </si>
  <si>
    <t>i</t>
  </si>
  <si>
    <t>l</t>
  </si>
  <si>
    <t>b</t>
  </si>
  <si>
    <t>m</t>
  </si>
  <si>
    <t>Immobilisations corporelles</t>
  </si>
  <si>
    <t>o</t>
  </si>
  <si>
    <t>t</t>
  </si>
  <si>
    <t>c</t>
  </si>
  <si>
    <t>Immobilisations financières (2)</t>
  </si>
  <si>
    <t>Garantie de loyer</t>
  </si>
  <si>
    <t>Total (I)</t>
  </si>
  <si>
    <t>a</t>
  </si>
  <si>
    <t>u</t>
  </si>
  <si>
    <t>Créance fiscale (TVA)</t>
  </si>
  <si>
    <t>r</t>
  </si>
  <si>
    <t>Disponibilité</t>
  </si>
  <si>
    <t>Total (II)</t>
  </si>
  <si>
    <t>TOTAL GENERAL (I+II)</t>
  </si>
  <si>
    <t>Ecart actif/passif</t>
  </si>
  <si>
    <t>PASSIF</t>
  </si>
  <si>
    <t>Capital</t>
  </si>
  <si>
    <t>e</t>
  </si>
  <si>
    <t>Primes d'émission</t>
  </si>
  <si>
    <t>Réserves</t>
  </si>
  <si>
    <t>p</t>
  </si>
  <si>
    <t>Réserve légale</t>
  </si>
  <si>
    <t>Réserves statutaires</t>
  </si>
  <si>
    <t>Réserve réglementées</t>
  </si>
  <si>
    <t>P</t>
  </si>
  <si>
    <t>Autres</t>
  </si>
  <si>
    <t>Reports à nouveau</t>
  </si>
  <si>
    <t>x</t>
  </si>
  <si>
    <t>Résultat de l'exercice</t>
  </si>
  <si>
    <t>Provisions réglementées</t>
  </si>
  <si>
    <t>Total I</t>
  </si>
  <si>
    <t>Subventions d'investissements</t>
  </si>
  <si>
    <t>Total II</t>
  </si>
  <si>
    <t>Provisons pour aléas</t>
  </si>
  <si>
    <t>C</t>
  </si>
  <si>
    <t>Total III</t>
  </si>
  <si>
    <t>Total A (I+II+III)</t>
  </si>
  <si>
    <t>Dettes fiscales (TVA)</t>
  </si>
  <si>
    <t>Dettes fiscales (IS)</t>
  </si>
  <si>
    <t>D</t>
  </si>
  <si>
    <t>Concours bancaires courants</t>
  </si>
  <si>
    <t>Total B</t>
  </si>
  <si>
    <t xml:space="preserve">Ecarts de conversion passif        </t>
  </si>
  <si>
    <t>TOTAL GENERAL (A+B)</t>
  </si>
  <si>
    <t>Frais de développement</t>
  </si>
  <si>
    <t>Matériel salarié non R&amp;D</t>
  </si>
  <si>
    <t>Matériel salarié R&amp;D</t>
  </si>
  <si>
    <t xml:space="preserve">Créances impôts sur les sociétés </t>
  </si>
  <si>
    <t>Créances CIR</t>
  </si>
  <si>
    <t>Autres créances</t>
  </si>
  <si>
    <t>Durée amortissement (m)</t>
  </si>
  <si>
    <t>% renouvellement</t>
  </si>
  <si>
    <t>Plateforme XVV</t>
  </si>
  <si>
    <t>Plateforme XV</t>
  </si>
  <si>
    <t>Site internet + logo</t>
  </si>
  <si>
    <t>2021 Capex</t>
  </si>
  <si>
    <t>Online</t>
  </si>
  <si>
    <t>Worker</t>
  </si>
  <si>
    <t>Pack salarié non R&amp;D</t>
  </si>
  <si>
    <t>Pack salarié R&amp;D</t>
  </si>
  <si>
    <t>Financial</t>
  </si>
  <si>
    <t xml:space="preserve">Garantie de loyer </t>
  </si>
  <si>
    <t>mois de loyer</t>
  </si>
  <si>
    <t>Nombre d'ETP non R&amp;D</t>
  </si>
  <si>
    <t>Nombre d'ETP R&amp;D</t>
  </si>
  <si>
    <t>Salaire bruts mensuels (totaux)</t>
  </si>
  <si>
    <t>Salaires bruts mensuels (non R&amp;D)</t>
  </si>
  <si>
    <t>Taux R&amp;D</t>
  </si>
  <si>
    <t>Quote part salaire brut alloué à la R&amp;D</t>
  </si>
  <si>
    <t>Taux du CIR</t>
  </si>
  <si>
    <t>Total salaires bruts</t>
  </si>
  <si>
    <t>(+) charges patronales</t>
  </si>
  <si>
    <t>(+) frais de fonctionnements (43%)</t>
  </si>
  <si>
    <t>(-) subventions à l'innovation obtenues</t>
  </si>
  <si>
    <t>Assiette CIR</t>
  </si>
  <si>
    <t>Montant de CIR obtenu</t>
  </si>
  <si>
    <t>Ingrid Vaileanu</t>
  </si>
  <si>
    <t>Subventions BPI obtenue</t>
  </si>
  <si>
    <t>Levée de fonds</t>
  </si>
  <si>
    <t>Subventions obtenues</t>
  </si>
  <si>
    <t>Total des autres produits d'exploitation</t>
  </si>
  <si>
    <t>Dotations aux amortissements capital immatériel</t>
  </si>
  <si>
    <t>Frais de R&amp;D immobilisés</t>
  </si>
  <si>
    <t>Voir Calcul du CIR</t>
  </si>
  <si>
    <t>Dotations aux amortissements R&amp;D immobilisée</t>
  </si>
  <si>
    <t>Dotations aux amortissements immobilisation corporelles</t>
  </si>
  <si>
    <t>Réparation matériel déféctueux</t>
  </si>
  <si>
    <t>(-) Impôt sur les bénéfices</t>
  </si>
  <si>
    <t>(+) Crédit d'impôts recherche obtenu</t>
  </si>
  <si>
    <t>Capitaux provenant de la levée de fonds</t>
  </si>
  <si>
    <t>Besoin en fonds de roulement</t>
  </si>
  <si>
    <t>Résultat net Comptable</t>
  </si>
  <si>
    <t>(+/-) DAP nettes</t>
  </si>
  <si>
    <t>(-) Production immobilisée</t>
  </si>
  <si>
    <t>CAF</t>
  </si>
  <si>
    <t>(-) Var. BFR</t>
  </si>
  <si>
    <t>FLUX D'EXPLOITATION</t>
  </si>
  <si>
    <t>FLUX D'INVESTISSEMENT</t>
  </si>
  <si>
    <t>FREE CASH FLOW</t>
  </si>
  <si>
    <t>(+) Augmentation de capital</t>
  </si>
  <si>
    <t>(+) Augmentation (remboursement) dettes bancaires</t>
  </si>
  <si>
    <t>FLUX DE FINANCEMENT</t>
  </si>
  <si>
    <t>FLUX NETS</t>
  </si>
  <si>
    <t>Trésorerie début d'exercice</t>
  </si>
  <si>
    <t>Var. de trésorerie de l'exercice</t>
  </si>
  <si>
    <t>Trésorerie fin d'exercice</t>
  </si>
  <si>
    <t>2021 (p)</t>
  </si>
  <si>
    <t>2022 (p)</t>
  </si>
  <si>
    <t>2023 (p)</t>
  </si>
  <si>
    <t>2024 (p)</t>
  </si>
  <si>
    <t>2025 (p)</t>
  </si>
  <si>
    <t>CAPEX de renouvellement immo corpo</t>
  </si>
  <si>
    <t>CAPEX de renouvellement immo incorpo</t>
  </si>
  <si>
    <t>CAPEX initial immobilisation corporelle</t>
  </si>
  <si>
    <t>CAPEX immobilisation financière</t>
  </si>
  <si>
    <t>CAPEX immobilisation incorporelle</t>
  </si>
  <si>
    <t>Dettes sociales (1 mois de salaires + Ursaaf nov et dec)</t>
  </si>
  <si>
    <t>Free Cash Flow</t>
  </si>
  <si>
    <t>Période d'escompte (levée fin mars)</t>
  </si>
  <si>
    <t>WACC</t>
  </si>
  <si>
    <t>g</t>
  </si>
  <si>
    <t>normatif</t>
  </si>
  <si>
    <t>FCF actualisé</t>
  </si>
  <si>
    <t>Terminal value</t>
  </si>
  <si>
    <t>Somme FCFa</t>
  </si>
  <si>
    <t>Terminal value actualisée</t>
  </si>
  <si>
    <t>Désendettement net</t>
  </si>
  <si>
    <t>Valeur de l'entreprise</t>
  </si>
  <si>
    <t>Valorisation pré-money</t>
  </si>
  <si>
    <t>Valorisation post-money</t>
  </si>
  <si>
    <t>% offert à souscription</t>
  </si>
  <si>
    <t>Résultat Courant Avant Impôts</t>
  </si>
  <si>
    <t>Source : https://blossomstreetventures.medium.com/saas-multiples-in-q4-95855c64d69d</t>
  </si>
  <si>
    <t>% de renouvellement :</t>
  </si>
  <si>
    <t xml:space="preserve">     -plus = actif net augmente avev le temps</t>
  </si>
  <si>
    <t xml:space="preserve">     -100% = réinvestissement des amortissements</t>
  </si>
  <si>
    <t xml:space="preserve">     -moins = actif net diminue avec le temps</t>
  </si>
  <si>
    <t>R&amp;D interne immobilisée</t>
  </si>
  <si>
    <t>2026 (p)</t>
  </si>
  <si>
    <t>2027 (p)</t>
  </si>
  <si>
    <t>2028 (p)</t>
  </si>
  <si>
    <t>2029 (p)</t>
  </si>
  <si>
    <t>2030 (p)</t>
  </si>
  <si>
    <t>Taux hors assurance</t>
  </si>
  <si>
    <t>Date de début remboursement</t>
  </si>
  <si>
    <t>Durée de remboursement (mois)</t>
  </si>
  <si>
    <t>Montant</t>
  </si>
  <si>
    <t>Mois</t>
  </si>
  <si>
    <t>CRD début</t>
  </si>
  <si>
    <t>Mensualités totale</t>
  </si>
  <si>
    <t>Intérêts + assurance</t>
  </si>
  <si>
    <t>Amortissement</t>
  </si>
  <si>
    <t>CRD fin</t>
  </si>
  <si>
    <t>Prêt BPI</t>
  </si>
  <si>
    <t>% EBITDA Retraité (EBITDA - prod immobilisée / CA)</t>
  </si>
  <si>
    <t xml:space="preserve">Voir rapport de Valorisation de M Alain Kaiser </t>
  </si>
  <si>
    <t>12 en 2022</t>
  </si>
  <si>
    <t>Déblocage : janvier 2022</t>
  </si>
  <si>
    <t>Taux de CP jusqu'en 2024</t>
  </si>
  <si>
    <t>Recherche et développement réalisé</t>
  </si>
  <si>
    <t>% de recherche réalisé</t>
  </si>
  <si>
    <t>(seul le développement est immobilisé)</t>
  </si>
  <si>
    <t>Charges patronales personnel non R&amp;D (40%)</t>
  </si>
  <si>
    <t>Charges patronales personnel R&amp;D (17% jusqu'en 2024)</t>
  </si>
  <si>
    <t>(+ charges patronales et taxes)</t>
  </si>
  <si>
    <t>Total des charges salariales R&amp;D</t>
  </si>
  <si>
    <t>Dépenses de R&amp;D</t>
  </si>
  <si>
    <t>(+) overheads</t>
  </si>
  <si>
    <t>Taux overhead / masse salariale brut chargée R&amp;D</t>
  </si>
  <si>
    <t>Total de la R&amp;D externalisée (capex)</t>
  </si>
  <si>
    <t>Sous traitance R&amp;D XV</t>
  </si>
  <si>
    <t>Sous traitance R&amp;D XVV</t>
  </si>
  <si>
    <t>Su</t>
  </si>
  <si>
    <t>Sc</t>
  </si>
  <si>
    <t>kEUR</t>
  </si>
  <si>
    <t xml:space="preserve">Chiffre d'affaires   </t>
  </si>
  <si>
    <t xml:space="preserve">Charges de personnel   </t>
  </si>
  <si>
    <t xml:space="preserve">(dont R&amp;D)   </t>
  </si>
  <si>
    <t xml:space="preserve">Budget marketing   </t>
  </si>
  <si>
    <t xml:space="preserve">Résultat net   </t>
  </si>
  <si>
    <t xml:space="preserve">OPEX   </t>
  </si>
  <si>
    <t xml:space="preserve">CAPEX   </t>
  </si>
  <si>
    <t>*</t>
  </si>
  <si>
    <t xml:space="preserve">FINEX   </t>
  </si>
  <si>
    <t xml:space="preserve">Free Cash Flow   </t>
  </si>
  <si>
    <t>Commerciaux 2022</t>
  </si>
  <si>
    <t>Commerciaux 2023</t>
  </si>
  <si>
    <t>Commerciaux 2024</t>
  </si>
  <si>
    <t>Commerciaux 2025</t>
  </si>
  <si>
    <t>Commerciaux 2026</t>
  </si>
  <si>
    <t>Commerciaux 2027</t>
  </si>
  <si>
    <t>Commerciaux 2028</t>
  </si>
  <si>
    <t>Marque Blanche</t>
  </si>
  <si>
    <t>Flux n°2 : Marque blanche grands groupes, institutionnels et ETI</t>
  </si>
  <si>
    <t>Nombre de commerciaux</t>
  </si>
  <si>
    <t>Nouveaux clients XV</t>
  </si>
  <si>
    <t>Efficacité commerciale</t>
  </si>
  <si>
    <t>Nouveau client XV / an / commercial</t>
  </si>
  <si>
    <t>Ratio XV/Marque Blanche</t>
  </si>
  <si>
    <t>1 clients marque blanche</t>
  </si>
  <si>
    <t>Abonnements marque blanche : Grands groupes et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</si>
</sst>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[$-409]d\-mmm\-yy;@"/>
    <numFmt numFmtId="166" formatCode="_-* #,##0_-;\-* #,##0_-;_-* &quot;-&quot;??_-;_-@_-"/>
    <numFmt numFmtId="167" formatCode="0.0%"/>
    <numFmt numFmtId="168" formatCode="_-* #,##0\ &quot;€&quot;_-;\-* #,##0\ &quot;€&quot;_-;_-* &quot;-&quot;??\ &quot;€&quot;_-;_-@_-"/>
    <numFmt numFmtId="169" formatCode="_(* #,##0&quot; €&quot;_);_(* \(#,##0&quot; €&quot;\);_(* &quot;-&quot;??_);_(@_)"/>
    <numFmt numFmtId="170" formatCode="#,##0\ &quot;€&quot;"/>
    <numFmt numFmtId="171" formatCode="0.00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sz val="11"/>
      <color theme="0"/>
      <name val="Montserrat Medium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9D9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C428F"/>
        <bgColor indexed="64"/>
      </patternFill>
    </fill>
    <fill>
      <patternFill patternType="solid">
        <fgColor rgb="FFAD0F29"/>
        <bgColor indexed="64"/>
      </patternFill>
    </fill>
    <fill>
      <patternFill patternType="solid">
        <fgColor rgb="FF7F7F7F"/>
        <bgColor indexed="64"/>
      </patternFill>
    </fill>
  </fills>
  <borders count="67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1">
    <xf numFmtId="0" fontId="0" fillId="0" borderId="0" xfId="0"/>
    <xf numFmtId="0" fontId="0" fillId="2" borderId="0" xfId="0" applyFill="1"/>
    <xf numFmtId="166" fontId="1" fillId="2" borderId="0" xfId="1" applyNumberFormat="1" applyFont="1" applyFill="1"/>
    <xf numFmtId="166" fontId="1" fillId="4" borderId="8" xfId="1" applyNumberFormat="1" applyFont="1" applyFill="1" applyBorder="1"/>
    <xf numFmtId="166" fontId="1" fillId="4" borderId="0" xfId="1" applyNumberFormat="1" applyFont="1" applyFill="1" applyBorder="1"/>
    <xf numFmtId="166" fontId="5" fillId="4" borderId="10" xfId="1" applyNumberFormat="1" applyFont="1" applyFill="1" applyBorder="1" applyAlignment="1">
      <alignment horizontal="center"/>
    </xf>
    <xf numFmtId="166" fontId="5" fillId="4" borderId="11" xfId="1" applyNumberFormat="1" applyFont="1" applyFill="1" applyBorder="1" applyAlignment="1">
      <alignment horizontal="center"/>
    </xf>
    <xf numFmtId="166" fontId="6" fillId="2" borderId="5" xfId="1" applyNumberFormat="1" applyFont="1" applyFill="1" applyBorder="1" applyAlignment="1">
      <alignment horizontal="center" vertical="top"/>
    </xf>
    <xf numFmtId="166" fontId="6" fillId="2" borderId="6" xfId="1" applyNumberFormat="1" applyFont="1" applyFill="1" applyBorder="1" applyAlignment="1">
      <alignment horizontal="center" vertical="top"/>
    </xf>
    <xf numFmtId="166" fontId="6" fillId="2" borderId="6" xfId="1" applyNumberFormat="1" applyFont="1" applyFill="1" applyBorder="1" applyAlignment="1">
      <alignment horizontal="right" vertical="top"/>
    </xf>
    <xf numFmtId="166" fontId="6" fillId="2" borderId="8" xfId="1" applyNumberFormat="1" applyFont="1" applyFill="1" applyBorder="1" applyAlignment="1">
      <alignment horizontal="center" vertical="top"/>
    </xf>
    <xf numFmtId="166" fontId="6" fillId="2" borderId="0" xfId="1" applyNumberFormat="1" applyFont="1" applyFill="1" applyBorder="1" applyAlignment="1">
      <alignment horizontal="center" vertical="top"/>
    </xf>
    <xf numFmtId="166" fontId="6" fillId="2" borderId="9" xfId="1" applyNumberFormat="1" applyFont="1" applyFill="1" applyBorder="1" applyAlignment="1">
      <alignment horizontal="right" vertical="top"/>
    </xf>
    <xf numFmtId="166" fontId="3" fillId="2" borderId="8" xfId="1" applyNumberFormat="1" applyFont="1" applyFill="1" applyBorder="1" applyAlignment="1">
      <alignment horizontal="center"/>
    </xf>
    <xf numFmtId="166" fontId="6" fillId="2" borderId="0" xfId="1" applyNumberFormat="1" applyFont="1" applyFill="1" applyBorder="1"/>
    <xf numFmtId="166" fontId="7" fillId="2" borderId="8" xfId="1" applyNumberFormat="1" applyFont="1" applyFill="1" applyBorder="1"/>
    <xf numFmtId="166" fontId="6" fillId="2" borderId="0" xfId="1" applyNumberFormat="1" applyFont="1" applyFill="1" applyBorder="1" applyAlignment="1">
      <alignment horizontal="right"/>
    </xf>
    <xf numFmtId="166" fontId="6" fillId="2" borderId="9" xfId="1" applyNumberFormat="1" applyFont="1" applyFill="1" applyBorder="1" applyAlignment="1">
      <alignment horizontal="right"/>
    </xf>
    <xf numFmtId="166" fontId="7" fillId="2" borderId="14" xfId="1" applyNumberFormat="1" applyFont="1" applyFill="1" applyBorder="1"/>
    <xf numFmtId="166" fontId="7" fillId="2" borderId="13" xfId="1" applyNumberFormat="1" applyFont="1" applyFill="1" applyBorder="1"/>
    <xf numFmtId="166" fontId="7" fillId="2" borderId="0" xfId="1" applyNumberFormat="1" applyFont="1" applyFill="1" applyBorder="1"/>
    <xf numFmtId="166" fontId="7" fillId="2" borderId="0" xfId="1" applyNumberFormat="1" applyFont="1" applyFill="1" applyBorder="1" applyAlignment="1">
      <alignment horizontal="right"/>
    </xf>
    <xf numFmtId="166" fontId="7" fillId="2" borderId="9" xfId="1" applyNumberFormat="1" applyFont="1" applyFill="1" applyBorder="1" applyAlignment="1">
      <alignment horizontal="right"/>
    </xf>
    <xf numFmtId="166" fontId="7" fillId="2" borderId="10" xfId="1" applyNumberFormat="1" applyFont="1" applyFill="1" applyBorder="1"/>
    <xf numFmtId="166" fontId="7" fillId="2" borderId="11" xfId="1" applyNumberFormat="1" applyFont="1" applyFill="1" applyBorder="1"/>
    <xf numFmtId="166" fontId="7" fillId="2" borderId="11" xfId="1" applyNumberFormat="1" applyFont="1" applyFill="1" applyBorder="1" applyAlignment="1">
      <alignment horizontal="right"/>
    </xf>
    <xf numFmtId="166" fontId="7" fillId="2" borderId="12" xfId="1" applyNumberFormat="1" applyFont="1" applyFill="1" applyBorder="1" applyAlignment="1">
      <alignment horizontal="right"/>
    </xf>
    <xf numFmtId="166" fontId="7" fillId="2" borderId="15" xfId="1" applyNumberFormat="1" applyFont="1" applyFill="1" applyBorder="1"/>
    <xf numFmtId="166" fontId="7" fillId="2" borderId="16" xfId="1" applyNumberFormat="1" applyFont="1" applyFill="1" applyBorder="1"/>
    <xf numFmtId="166" fontId="8" fillId="2" borderId="0" xfId="1" applyNumberFormat="1" applyFont="1" applyFill="1" applyBorder="1"/>
    <xf numFmtId="166" fontId="5" fillId="4" borderId="18" xfId="1" applyNumberFormat="1" applyFont="1" applyFill="1" applyBorder="1"/>
    <xf numFmtId="166" fontId="5" fillId="4" borderId="19" xfId="1" applyNumberFormat="1" applyFont="1" applyFill="1" applyBorder="1"/>
    <xf numFmtId="166" fontId="1" fillId="2" borderId="5" xfId="1" applyNumberFormat="1" applyFont="1" applyFill="1" applyBorder="1"/>
    <xf numFmtId="166" fontId="1" fillId="2" borderId="6" xfId="1" applyNumberFormat="1" applyFont="1" applyFill="1" applyBorder="1"/>
    <xf numFmtId="166" fontId="1" fillId="2" borderId="7" xfId="1" applyNumberFormat="1" applyFont="1" applyFill="1" applyBorder="1"/>
    <xf numFmtId="166" fontId="7" fillId="2" borderId="20" xfId="1" applyNumberFormat="1" applyFont="1" applyFill="1" applyBorder="1"/>
    <xf numFmtId="166" fontId="7" fillId="2" borderId="6" xfId="1" applyNumberFormat="1" applyFont="1" applyFill="1" applyBorder="1"/>
    <xf numFmtId="166" fontId="1" fillId="2" borderId="0" xfId="1" applyNumberFormat="1" applyFont="1" applyFill="1" applyBorder="1"/>
    <xf numFmtId="166" fontId="1" fillId="2" borderId="9" xfId="1" applyNumberFormat="1" applyFont="1" applyFill="1" applyBorder="1"/>
    <xf numFmtId="166" fontId="6" fillId="2" borderId="8" xfId="1" applyNumberFormat="1" applyFont="1" applyFill="1" applyBorder="1"/>
    <xf numFmtId="166" fontId="6" fillId="2" borderId="13" xfId="1" applyNumberFormat="1" applyFont="1" applyFill="1" applyBorder="1"/>
    <xf numFmtId="166" fontId="9" fillId="2" borderId="10" xfId="1" applyNumberFormat="1" applyFont="1" applyFill="1" applyBorder="1"/>
    <xf numFmtId="166" fontId="10" fillId="2" borderId="16" xfId="1" applyNumberFormat="1" applyFont="1" applyFill="1" applyBorder="1"/>
    <xf numFmtId="166" fontId="10" fillId="2" borderId="11" xfId="1" applyNumberFormat="1" applyFont="1" applyFill="1" applyBorder="1"/>
    <xf numFmtId="166" fontId="11" fillId="2" borderId="0" xfId="1" applyNumberFormat="1" applyFont="1" applyFill="1" applyBorder="1"/>
    <xf numFmtId="166" fontId="12" fillId="2" borderId="8" xfId="1" quotePrefix="1" applyNumberFormat="1" applyFont="1" applyFill="1" applyBorder="1" applyAlignment="1">
      <alignment horizontal="right"/>
    </xf>
    <xf numFmtId="166" fontId="5" fillId="2" borderId="0" xfId="1" quotePrefix="1" applyNumberFormat="1" applyFont="1" applyFill="1" applyBorder="1" applyAlignment="1">
      <alignment horizontal="right"/>
    </xf>
    <xf numFmtId="166" fontId="11" fillId="2" borderId="0" xfId="1" applyNumberFormat="1" applyFont="1" applyFill="1" applyBorder="1" applyAlignment="1">
      <alignment horizontal="right"/>
    </xf>
    <xf numFmtId="166" fontId="13" fillId="2" borderId="20" xfId="1" applyNumberFormat="1" applyFont="1" applyFill="1" applyBorder="1"/>
    <xf numFmtId="166" fontId="13" fillId="2" borderId="6" xfId="1" applyNumberFormat="1" applyFont="1" applyFill="1" applyBorder="1"/>
    <xf numFmtId="166" fontId="14" fillId="2" borderId="8" xfId="1" applyNumberFormat="1" applyFont="1" applyFill="1" applyBorder="1"/>
    <xf numFmtId="166" fontId="12" fillId="2" borderId="0" xfId="1" quotePrefix="1" applyNumberFormat="1" applyFont="1" applyFill="1" applyBorder="1" applyAlignment="1">
      <alignment horizontal="right"/>
    </xf>
    <xf numFmtId="166" fontId="12" fillId="2" borderId="0" xfId="1" applyNumberFormat="1" applyFont="1" applyFill="1" applyBorder="1"/>
    <xf numFmtId="166" fontId="12" fillId="2" borderId="0" xfId="1" applyNumberFormat="1" applyFont="1" applyFill="1" applyBorder="1" applyAlignment="1">
      <alignment horizontal="right"/>
    </xf>
    <xf numFmtId="166" fontId="12" fillId="2" borderId="8" xfId="1" applyNumberFormat="1" applyFont="1" applyFill="1" applyBorder="1"/>
    <xf numFmtId="167" fontId="6" fillId="2" borderId="16" xfId="3" applyNumberFormat="1" applyFont="1" applyFill="1" applyBorder="1"/>
    <xf numFmtId="166" fontId="6" fillId="2" borderId="16" xfId="1" applyNumberFormat="1" applyFont="1" applyFill="1" applyBorder="1"/>
    <xf numFmtId="166" fontId="6" fillId="2" borderId="6" xfId="1" applyNumberFormat="1" applyFont="1" applyFill="1" applyBorder="1"/>
    <xf numFmtId="166" fontId="5" fillId="5" borderId="18" xfId="1" applyNumberFormat="1" applyFont="1" applyFill="1" applyBorder="1"/>
    <xf numFmtId="168" fontId="7" fillId="2" borderId="0" xfId="2" applyNumberFormat="1" applyFont="1" applyFill="1"/>
    <xf numFmtId="169" fontId="0" fillId="0" borderId="0" xfId="0" applyNumberFormat="1"/>
    <xf numFmtId="165" fontId="2" fillId="6" borderId="1" xfId="4" applyNumberFormat="1" applyFont="1" applyFill="1" applyBorder="1" applyAlignment="1">
      <alignment horizontal="center"/>
    </xf>
    <xf numFmtId="169" fontId="10" fillId="6" borderId="1" xfId="4" applyNumberFormat="1" applyFont="1" applyFill="1" applyBorder="1"/>
    <xf numFmtId="9" fontId="10" fillId="6" borderId="1" xfId="4" applyNumberFormat="1" applyFont="1" applyFill="1" applyBorder="1" applyAlignment="1">
      <alignment horizontal="center"/>
    </xf>
    <xf numFmtId="0" fontId="2" fillId="6" borderId="0" xfId="4" applyNumberFormat="1" applyFont="1" applyFill="1" applyBorder="1" applyAlignment="1">
      <alignment horizontal="center"/>
    </xf>
    <xf numFmtId="0" fontId="2" fillId="7" borderId="1" xfId="4" applyNumberFormat="1" applyFont="1" applyFill="1" applyBorder="1" applyAlignment="1">
      <alignment horizontal="right"/>
    </xf>
    <xf numFmtId="0" fontId="0" fillId="7" borderId="0" xfId="0" applyFill="1" applyAlignment="1">
      <alignment horizontal="right"/>
    </xf>
    <xf numFmtId="0" fontId="0" fillId="7" borderId="0" xfId="0" applyFill="1"/>
    <xf numFmtId="165" fontId="2" fillId="7" borderId="1" xfId="4" applyNumberFormat="1" applyFont="1" applyFill="1" applyBorder="1" applyAlignment="1">
      <alignment horizontal="center"/>
    </xf>
    <xf numFmtId="166" fontId="17" fillId="2" borderId="8" xfId="1" applyNumberFormat="1" applyFont="1" applyFill="1" applyBorder="1" applyAlignment="1">
      <alignment horizontal="left" indent="2"/>
    </xf>
    <xf numFmtId="166" fontId="7" fillId="2" borderId="8" xfId="1" applyNumberFormat="1" applyFont="1" applyFill="1" applyBorder="1" applyAlignment="1">
      <alignment horizontal="left"/>
    </xf>
    <xf numFmtId="0" fontId="0" fillId="2" borderId="0" xfId="0" applyFont="1" applyFill="1"/>
    <xf numFmtId="167" fontId="0" fillId="0" borderId="0" xfId="3" applyNumberFormat="1" applyFont="1"/>
    <xf numFmtId="6" fontId="0" fillId="6" borderId="0" xfId="0" applyNumberFormat="1" applyFill="1"/>
    <xf numFmtId="166" fontId="0" fillId="0" borderId="0" xfId="1" applyNumberFormat="1" applyFont="1"/>
    <xf numFmtId="0" fontId="0" fillId="6" borderId="0" xfId="0" applyFill="1"/>
    <xf numFmtId="9" fontId="0" fillId="0" borderId="0" xfId="0" applyNumberFormat="1"/>
    <xf numFmtId="166" fontId="6" fillId="2" borderId="14" xfId="1" applyNumberFormat="1" applyFont="1" applyFill="1" applyBorder="1"/>
    <xf numFmtId="0" fontId="0" fillId="0" borderId="0" xfId="0" applyNumberFormat="1"/>
    <xf numFmtId="0" fontId="0" fillId="8" borderId="0" xfId="0" applyFill="1"/>
    <xf numFmtId="166" fontId="7" fillId="7" borderId="8" xfId="1" applyNumberFormat="1" applyFont="1" applyFill="1" applyBorder="1"/>
    <xf numFmtId="168" fontId="0" fillId="6" borderId="0" xfId="2" applyNumberFormat="1" applyFont="1" applyFill="1"/>
    <xf numFmtId="167" fontId="0" fillId="6" borderId="0" xfId="3" applyNumberFormat="1" applyFont="1" applyFill="1"/>
    <xf numFmtId="9" fontId="0" fillId="6" borderId="0" xfId="0" applyNumberFormat="1" applyFill="1"/>
    <xf numFmtId="167" fontId="0" fillId="6" borderId="0" xfId="0" applyNumberFormat="1" applyFill="1"/>
    <xf numFmtId="10" fontId="0" fillId="6" borderId="0" xfId="0" applyNumberFormat="1" applyFill="1"/>
    <xf numFmtId="166" fontId="6" fillId="2" borderId="8" xfId="1" applyNumberFormat="1" applyFont="1" applyFill="1" applyBorder="1" applyAlignment="1">
      <alignment horizontal="right"/>
    </xf>
    <xf numFmtId="166" fontId="5" fillId="9" borderId="17" xfId="1" applyNumberFormat="1" applyFont="1" applyFill="1" applyBorder="1"/>
    <xf numFmtId="166" fontId="5" fillId="9" borderId="18" xfId="1" applyNumberFormat="1" applyFont="1" applyFill="1" applyBorder="1"/>
    <xf numFmtId="166" fontId="5" fillId="9" borderId="18" xfId="1" applyNumberFormat="1" applyFont="1" applyFill="1" applyBorder="1" applyAlignment="1">
      <alignment horizontal="right"/>
    </xf>
    <xf numFmtId="166" fontId="5" fillId="9" borderId="3" xfId="1" applyNumberFormat="1" applyFont="1" applyFill="1" applyBorder="1"/>
    <xf numFmtId="0" fontId="18" fillId="2" borderId="0" xfId="0" applyFont="1" applyFill="1"/>
    <xf numFmtId="3" fontId="19" fillId="10" borderId="2" xfId="0" applyNumberFormat="1" applyFont="1" applyFill="1" applyBorder="1" applyAlignment="1">
      <alignment horizontal="center"/>
    </xf>
    <xf numFmtId="3" fontId="19" fillId="10" borderId="3" xfId="0" applyNumberFormat="1" applyFont="1" applyFill="1" applyBorder="1" applyAlignment="1">
      <alignment horizontal="center"/>
    </xf>
    <xf numFmtId="3" fontId="19" fillId="10" borderId="4" xfId="0" applyNumberFormat="1" applyFont="1" applyFill="1" applyBorder="1" applyAlignment="1">
      <alignment horizontal="center"/>
    </xf>
    <xf numFmtId="3" fontId="21" fillId="4" borderId="8" xfId="0" applyNumberFormat="1" applyFont="1" applyFill="1" applyBorder="1" applyAlignment="1">
      <alignment horizontal="center" textRotation="90"/>
    </xf>
    <xf numFmtId="3" fontId="21" fillId="2" borderId="8" xfId="0" applyNumberFormat="1" applyFont="1" applyFill="1" applyBorder="1"/>
    <xf numFmtId="3" fontId="21" fillId="2" borderId="0" xfId="0" applyNumberFormat="1" applyFont="1" applyFill="1"/>
    <xf numFmtId="10" fontId="21" fillId="2" borderId="9" xfId="0" applyNumberFormat="1" applyFont="1" applyFill="1" applyBorder="1"/>
    <xf numFmtId="3" fontId="21" fillId="2" borderId="13" xfId="0" applyNumberFormat="1" applyFont="1" applyFill="1" applyBorder="1"/>
    <xf numFmtId="3" fontId="21" fillId="2" borderId="20" xfId="0" applyNumberFormat="1" applyFont="1" applyFill="1" applyBorder="1"/>
    <xf numFmtId="3" fontId="20" fillId="4" borderId="8" xfId="0" applyNumberFormat="1" applyFont="1" applyFill="1" applyBorder="1" applyAlignment="1">
      <alignment horizontal="center" textRotation="90"/>
    </xf>
    <xf numFmtId="3" fontId="22" fillId="2" borderId="8" xfId="0" applyNumberFormat="1" applyFont="1" applyFill="1" applyBorder="1"/>
    <xf numFmtId="3" fontId="22" fillId="2" borderId="0" xfId="0" applyNumberFormat="1" applyFont="1" applyFill="1"/>
    <xf numFmtId="10" fontId="22" fillId="2" borderId="9" xfId="0" applyNumberFormat="1" applyFont="1" applyFill="1" applyBorder="1"/>
    <xf numFmtId="3" fontId="22" fillId="2" borderId="13" xfId="0" applyNumberFormat="1" applyFont="1" applyFill="1" applyBorder="1"/>
    <xf numFmtId="168" fontId="20" fillId="11" borderId="2" xfId="2" applyNumberFormat="1" applyFont="1" applyFill="1" applyBorder="1"/>
    <xf numFmtId="168" fontId="20" fillId="11" borderId="4" xfId="2" applyNumberFormat="1" applyFont="1" applyFill="1" applyBorder="1"/>
    <xf numFmtId="0" fontId="18" fillId="4" borderId="20" xfId="0" applyFont="1" applyFill="1" applyBorder="1"/>
    <xf numFmtId="3" fontId="21" fillId="2" borderId="5" xfId="0" applyNumberFormat="1" applyFont="1" applyFill="1" applyBorder="1"/>
    <xf numFmtId="3" fontId="21" fillId="2" borderId="6" xfId="0" applyNumberFormat="1" applyFont="1" applyFill="1" applyBorder="1"/>
    <xf numFmtId="10" fontId="21" fillId="2" borderId="7" xfId="0" applyNumberFormat="1" applyFont="1" applyFill="1" applyBorder="1"/>
    <xf numFmtId="3" fontId="20" fillId="4" borderId="13" xfId="0" applyNumberFormat="1" applyFont="1" applyFill="1" applyBorder="1" applyAlignment="1">
      <alignment horizontal="center" textRotation="90"/>
    </xf>
    <xf numFmtId="2" fontId="21" fillId="2" borderId="9" xfId="0" applyNumberFormat="1" applyFont="1" applyFill="1" applyBorder="1" applyAlignment="1">
      <alignment horizontal="center"/>
    </xf>
    <xf numFmtId="168" fontId="20" fillId="11" borderId="24" xfId="2" applyNumberFormat="1" applyFont="1" applyFill="1" applyBorder="1"/>
    <xf numFmtId="168" fontId="20" fillId="5" borderId="28" xfId="2" applyNumberFormat="1" applyFont="1" applyFill="1" applyBorder="1"/>
    <xf numFmtId="3" fontId="22" fillId="2" borderId="0" xfId="0" applyNumberFormat="1" applyFont="1" applyFill="1" applyAlignment="1">
      <alignment horizontal="center"/>
    </xf>
    <xf numFmtId="10" fontId="22" fillId="2" borderId="0" xfId="0" applyNumberFormat="1" applyFont="1" applyFill="1"/>
    <xf numFmtId="1" fontId="22" fillId="2" borderId="0" xfId="0" applyNumberFormat="1" applyFont="1" applyFill="1" applyAlignment="1">
      <alignment horizontal="center"/>
    </xf>
    <xf numFmtId="4" fontId="22" fillId="2" borderId="0" xfId="0" applyNumberFormat="1" applyFont="1" applyFill="1"/>
    <xf numFmtId="10" fontId="22" fillId="8" borderId="17" xfId="0" applyNumberFormat="1" applyFont="1" applyFill="1" applyBorder="1"/>
    <xf numFmtId="3" fontId="22" fillId="2" borderId="18" xfId="0" applyNumberFormat="1" applyFont="1" applyFill="1" applyBorder="1"/>
    <xf numFmtId="0" fontId="18" fillId="0" borderId="0" xfId="0" applyFont="1"/>
    <xf numFmtId="3" fontId="21" fillId="4" borderId="20" xfId="0" applyNumberFormat="1" applyFont="1" applyFill="1" applyBorder="1" applyAlignment="1">
      <alignment horizontal="center" textRotation="90"/>
    </xf>
    <xf numFmtId="3" fontId="22" fillId="2" borderId="6" xfId="0" applyNumberFormat="1" applyFont="1" applyFill="1" applyBorder="1"/>
    <xf numFmtId="10" fontId="22" fillId="2" borderId="6" xfId="0" applyNumberFormat="1" applyFont="1" applyFill="1" applyBorder="1"/>
    <xf numFmtId="10" fontId="22" fillId="2" borderId="7" xfId="0" applyNumberFormat="1" applyFont="1" applyFill="1" applyBorder="1"/>
    <xf numFmtId="3" fontId="22" fillId="2" borderId="5" xfId="0" applyNumberFormat="1" applyFont="1" applyFill="1" applyBorder="1"/>
    <xf numFmtId="3" fontId="22" fillId="2" borderId="20" xfId="0" applyNumberFormat="1" applyFont="1" applyFill="1" applyBorder="1"/>
    <xf numFmtId="10" fontId="21" fillId="2" borderId="0" xfId="0" applyNumberFormat="1" applyFont="1" applyFill="1"/>
    <xf numFmtId="0" fontId="18" fillId="2" borderId="13" xfId="0" applyFont="1" applyFill="1" applyBorder="1"/>
    <xf numFmtId="0" fontId="20" fillId="4" borderId="13" xfId="0" applyFont="1" applyFill="1" applyBorder="1"/>
    <xf numFmtId="3" fontId="21" fillId="2" borderId="11" xfId="0" applyNumberFormat="1" applyFont="1" applyFill="1" applyBorder="1"/>
    <xf numFmtId="10" fontId="21" fillId="2" borderId="11" xfId="0" applyNumberFormat="1" applyFont="1" applyFill="1" applyBorder="1"/>
    <xf numFmtId="10" fontId="21" fillId="2" borderId="12" xfId="0" applyNumberFormat="1" applyFont="1" applyFill="1" applyBorder="1"/>
    <xf numFmtId="3" fontId="21" fillId="2" borderId="10" xfId="0" applyNumberFormat="1" applyFont="1" applyFill="1" applyBorder="1"/>
    <xf numFmtId="3" fontId="21" fillId="2" borderId="16" xfId="0" applyNumberFormat="1" applyFont="1" applyFill="1" applyBorder="1"/>
    <xf numFmtId="1" fontId="19" fillId="4" borderId="17" xfId="0" applyNumberFormat="1" applyFont="1" applyFill="1" applyBorder="1"/>
    <xf numFmtId="1" fontId="20" fillId="4" borderId="18" xfId="0" applyNumberFormat="1" applyFont="1" applyFill="1" applyBorder="1" applyAlignment="1">
      <alignment horizontal="right"/>
    </xf>
    <xf numFmtId="1" fontId="19" fillId="4" borderId="18" xfId="0" applyNumberFormat="1" applyFont="1" applyFill="1" applyBorder="1"/>
    <xf numFmtId="1" fontId="19" fillId="4" borderId="22" xfId="0" applyNumberFormat="1" applyFont="1" applyFill="1" applyBorder="1"/>
    <xf numFmtId="10" fontId="22" fillId="2" borderId="29" xfId="0" applyNumberFormat="1" applyFont="1" applyFill="1" applyBorder="1"/>
    <xf numFmtId="3" fontId="22" fillId="2" borderId="16" xfId="0" applyNumberFormat="1" applyFont="1" applyFill="1" applyBorder="1"/>
    <xf numFmtId="1" fontId="19" fillId="4" borderId="19" xfId="0" applyNumberFormat="1" applyFont="1" applyFill="1" applyBorder="1"/>
    <xf numFmtId="1" fontId="19" fillId="4" borderId="4" xfId="0" applyNumberFormat="1" applyFont="1" applyFill="1" applyBorder="1"/>
    <xf numFmtId="10" fontId="22" fillId="2" borderId="30" xfId="0" applyNumberFormat="1" applyFont="1" applyFill="1" applyBorder="1"/>
    <xf numFmtId="3" fontId="22" fillId="2" borderId="10" xfId="0" applyNumberFormat="1" applyFont="1" applyFill="1" applyBorder="1"/>
    <xf numFmtId="3" fontId="22" fillId="2" borderId="11" xfId="0" applyNumberFormat="1" applyFont="1" applyFill="1" applyBorder="1"/>
    <xf numFmtId="10" fontId="22" fillId="2" borderId="11" xfId="0" applyNumberFormat="1" applyFont="1" applyFill="1" applyBorder="1"/>
    <xf numFmtId="10" fontId="22" fillId="2" borderId="31" xfId="0" applyNumberFormat="1" applyFont="1" applyFill="1" applyBorder="1"/>
    <xf numFmtId="0" fontId="18" fillId="4" borderId="17" xfId="0" applyFont="1" applyFill="1" applyBorder="1"/>
    <xf numFmtId="3" fontId="20" fillId="4" borderId="18" xfId="0" applyNumberFormat="1" applyFont="1" applyFill="1" applyBorder="1" applyAlignment="1">
      <alignment horizontal="right"/>
    </xf>
    <xf numFmtId="3" fontId="22" fillId="4" borderId="18" xfId="0" applyNumberFormat="1" applyFont="1" applyFill="1" applyBorder="1"/>
    <xf numFmtId="3" fontId="22" fillId="4" borderId="22" xfId="0" applyNumberFormat="1" applyFont="1" applyFill="1" applyBorder="1"/>
    <xf numFmtId="170" fontId="20" fillId="4" borderId="19" xfId="0" applyNumberFormat="1" applyFont="1" applyFill="1" applyBorder="1"/>
    <xf numFmtId="170" fontId="20" fillId="4" borderId="4" xfId="0" applyNumberFormat="1" applyFont="1" applyFill="1" applyBorder="1"/>
    <xf numFmtId="168" fontId="20" fillId="11" borderId="18" xfId="2" applyNumberFormat="1" applyFont="1" applyFill="1" applyBorder="1"/>
    <xf numFmtId="168" fontId="20" fillId="11" borderId="19" xfId="2" applyNumberFormat="1" applyFont="1" applyFill="1" applyBorder="1"/>
    <xf numFmtId="3" fontId="21" fillId="4" borderId="20" xfId="0" applyNumberFormat="1" applyFont="1" applyFill="1" applyBorder="1" applyAlignment="1">
      <alignment horizontal="center"/>
    </xf>
    <xf numFmtId="166" fontId="23" fillId="2" borderId="13" xfId="1" applyNumberFormat="1" applyFont="1" applyFill="1" applyBorder="1"/>
    <xf numFmtId="166" fontId="23" fillId="2" borderId="0" xfId="1" applyNumberFormat="1" applyFont="1" applyFill="1"/>
    <xf numFmtId="3" fontId="24" fillId="2" borderId="0" xfId="0" applyNumberFormat="1" applyFont="1" applyFill="1"/>
    <xf numFmtId="3" fontId="21" fillId="4" borderId="13" xfId="0" applyNumberFormat="1" applyFont="1" applyFill="1" applyBorder="1" applyAlignment="1">
      <alignment horizontal="center" textRotation="90"/>
    </xf>
    <xf numFmtId="168" fontId="20" fillId="5" borderId="18" xfId="2" applyNumberFormat="1" applyFont="1" applyFill="1" applyBorder="1"/>
    <xf numFmtId="168" fontId="20" fillId="5" borderId="19" xfId="2" applyNumberFormat="1" applyFont="1" applyFill="1" applyBorder="1"/>
    <xf numFmtId="168" fontId="20" fillId="5" borderId="4" xfId="2" applyNumberFormat="1" applyFont="1" applyFill="1" applyBorder="1"/>
    <xf numFmtId="0" fontId="0" fillId="0" borderId="0" xfId="0" applyAlignment="1">
      <alignment horizontal="right"/>
    </xf>
    <xf numFmtId="169" fontId="0" fillId="0" borderId="0" xfId="0" applyNumberFormat="1" applyFill="1" applyBorder="1"/>
    <xf numFmtId="0" fontId="0" fillId="0" borderId="0" xfId="0" applyNumberFormat="1" applyFill="1" applyBorder="1"/>
    <xf numFmtId="166" fontId="0" fillId="0" borderId="36" xfId="1" applyNumberFormat="1" applyFont="1" applyBorder="1"/>
    <xf numFmtId="166" fontId="0" fillId="0" borderId="37" xfId="1" applyNumberFormat="1" applyFont="1" applyBorder="1"/>
    <xf numFmtId="166" fontId="0" fillId="0" borderId="38" xfId="1" applyNumberFormat="1" applyFont="1" applyBorder="1"/>
    <xf numFmtId="166" fontId="0" fillId="0" borderId="39" xfId="1" applyNumberFormat="1" applyFont="1" applyBorder="1"/>
    <xf numFmtId="168" fontId="16" fillId="13" borderId="3" xfId="2" applyNumberFormat="1" applyFont="1" applyFill="1" applyBorder="1"/>
    <xf numFmtId="168" fontId="16" fillId="13" borderId="4" xfId="2" applyNumberFormat="1" applyFont="1" applyFill="1" applyBorder="1"/>
    <xf numFmtId="166" fontId="16" fillId="0" borderId="36" xfId="1" applyNumberFormat="1" applyFont="1" applyBorder="1"/>
    <xf numFmtId="166" fontId="16" fillId="0" borderId="37" xfId="1" applyNumberFormat="1" applyFont="1" applyBorder="1"/>
    <xf numFmtId="166" fontId="0" fillId="0" borderId="46" xfId="1" applyNumberFormat="1" applyFont="1" applyBorder="1"/>
    <xf numFmtId="166" fontId="0" fillId="0" borderId="47" xfId="1" applyNumberFormat="1" applyFont="1" applyBorder="1"/>
    <xf numFmtId="168" fontId="16" fillId="14" borderId="3" xfId="2" applyNumberFormat="1" applyFont="1" applyFill="1" applyBorder="1"/>
    <xf numFmtId="168" fontId="16" fillId="14" borderId="4" xfId="2" applyNumberFormat="1" applyFont="1" applyFill="1" applyBorder="1"/>
    <xf numFmtId="9" fontId="0" fillId="6" borderId="35" xfId="0" applyNumberFormat="1" applyFill="1" applyBorder="1"/>
    <xf numFmtId="166" fontId="0" fillId="0" borderId="43" xfId="1" applyNumberFormat="1" applyFont="1" applyBorder="1"/>
    <xf numFmtId="0" fontId="0" fillId="8" borderId="48" xfId="0" applyFill="1" applyBorder="1"/>
    <xf numFmtId="0" fontId="16" fillId="8" borderId="49" xfId="0" applyFont="1" applyFill="1" applyBorder="1"/>
    <xf numFmtId="9" fontId="0" fillId="6" borderId="32" xfId="0" applyNumberFormat="1" applyFill="1" applyBorder="1"/>
    <xf numFmtId="0" fontId="0" fillId="7" borderId="34" xfId="0" applyFill="1" applyBorder="1"/>
    <xf numFmtId="0" fontId="0" fillId="7" borderId="37" xfId="0" applyFill="1" applyBorder="1"/>
    <xf numFmtId="9" fontId="0" fillId="2" borderId="50" xfId="0" applyNumberFormat="1" applyFill="1" applyBorder="1"/>
    <xf numFmtId="166" fontId="16" fillId="0" borderId="43" xfId="1" applyNumberFormat="1" applyFont="1" applyBorder="1"/>
    <xf numFmtId="166" fontId="0" fillId="0" borderId="32" xfId="1" applyNumberFormat="1" applyFont="1" applyBorder="1"/>
    <xf numFmtId="166" fontId="0" fillId="0" borderId="33" xfId="1" applyNumberFormat="1" applyFont="1" applyBorder="1"/>
    <xf numFmtId="166" fontId="0" fillId="0" borderId="34" xfId="1" applyNumberFormat="1" applyFont="1" applyBorder="1"/>
    <xf numFmtId="166" fontId="0" fillId="0" borderId="35" xfId="1" applyNumberFormat="1" applyFont="1" applyBorder="1"/>
    <xf numFmtId="166" fontId="0" fillId="0" borderId="50" xfId="1" applyNumberFormat="1" applyFont="1" applyBorder="1"/>
    <xf numFmtId="0" fontId="0" fillId="8" borderId="49" xfId="0" applyFill="1" applyBorder="1"/>
    <xf numFmtId="166" fontId="0" fillId="0" borderId="53" xfId="1" applyNumberFormat="1" applyFont="1" applyBorder="1"/>
    <xf numFmtId="0" fontId="0" fillId="0" borderId="0" xfId="0" applyBorder="1"/>
    <xf numFmtId="166" fontId="0" fillId="0" borderId="54" xfId="1" applyNumberFormat="1" applyFont="1" applyBorder="1"/>
    <xf numFmtId="166" fontId="0" fillId="0" borderId="55" xfId="1" applyNumberFormat="1" applyFont="1" applyBorder="1"/>
    <xf numFmtId="0" fontId="0" fillId="0" borderId="5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12" xfId="0" applyBorder="1" applyAlignment="1">
      <alignment horizontal="right"/>
    </xf>
    <xf numFmtId="0" fontId="0" fillId="0" borderId="17" xfId="0" applyBorder="1"/>
    <xf numFmtId="0" fontId="0" fillId="0" borderId="22" xfId="0" applyBorder="1"/>
    <xf numFmtId="0" fontId="0" fillId="2" borderId="39" xfId="0" applyFill="1" applyBorder="1"/>
    <xf numFmtId="166" fontId="6" fillId="2" borderId="5" xfId="1" applyNumberFormat="1" applyFont="1" applyFill="1" applyBorder="1"/>
    <xf numFmtId="166" fontId="6" fillId="2" borderId="6" xfId="1" applyNumberFormat="1" applyFont="1" applyFill="1" applyBorder="1" applyAlignment="1">
      <alignment horizontal="right"/>
    </xf>
    <xf numFmtId="166" fontId="6" fillId="2" borderId="7" xfId="1" applyNumberFormat="1" applyFont="1" applyFill="1" applyBorder="1" applyAlignment="1">
      <alignment horizontal="right"/>
    </xf>
    <xf numFmtId="166" fontId="7" fillId="2" borderId="13" xfId="1" applyNumberFormat="1" applyFont="1" applyFill="1" applyBorder="1" applyAlignment="1">
      <alignment horizontal="left"/>
    </xf>
    <xf numFmtId="168" fontId="0" fillId="6" borderId="6" xfId="2" applyNumberFormat="1" applyFont="1" applyFill="1" applyBorder="1"/>
    <xf numFmtId="9" fontId="0" fillId="6" borderId="7" xfId="0" applyNumberFormat="1" applyFill="1" applyBorder="1"/>
    <xf numFmtId="168" fontId="0" fillId="6" borderId="0" xfId="2" applyNumberFormat="1" applyFont="1" applyFill="1" applyBorder="1"/>
    <xf numFmtId="9" fontId="0" fillId="6" borderId="9" xfId="0" applyNumberFormat="1" applyFill="1" applyBorder="1"/>
    <xf numFmtId="168" fontId="0" fillId="6" borderId="11" xfId="2" applyNumberFormat="1" applyFont="1" applyFill="1" applyBorder="1"/>
    <xf numFmtId="9" fontId="0" fillId="6" borderId="12" xfId="0" applyNumberFormat="1" applyFill="1" applyBorder="1"/>
    <xf numFmtId="166" fontId="10" fillId="2" borderId="0" xfId="1" applyNumberFormat="1" applyFont="1" applyFill="1" applyBorder="1"/>
    <xf numFmtId="0" fontId="18" fillId="2" borderId="8" xfId="0" applyFont="1" applyFill="1" applyBorder="1"/>
    <xf numFmtId="168" fontId="20" fillId="15" borderId="18" xfId="2" applyNumberFormat="1" applyFont="1" applyFill="1" applyBorder="1"/>
    <xf numFmtId="166" fontId="10" fillId="8" borderId="49" xfId="1" applyNumberFormat="1" applyFont="1" applyFill="1" applyBorder="1" applyAlignment="1">
      <alignment horizontal="right"/>
    </xf>
    <xf numFmtId="166" fontId="10" fillId="8" borderId="52" xfId="1" applyNumberFormat="1" applyFont="1" applyFill="1" applyBorder="1" applyAlignment="1">
      <alignment horizontal="right"/>
    </xf>
    <xf numFmtId="166" fontId="10" fillId="7" borderId="56" xfId="1" applyNumberFormat="1" applyFont="1" applyFill="1" applyBorder="1"/>
    <xf numFmtId="166" fontId="10" fillId="2" borderId="40" xfId="1" applyNumberFormat="1" applyFont="1" applyFill="1" applyBorder="1"/>
    <xf numFmtId="166" fontId="10" fillId="2" borderId="41" xfId="1" applyNumberFormat="1" applyFont="1" applyFill="1" applyBorder="1"/>
    <xf numFmtId="166" fontId="10" fillId="7" borderId="57" xfId="1" applyNumberFormat="1" applyFont="1" applyFill="1" applyBorder="1"/>
    <xf numFmtId="166" fontId="10" fillId="2" borderId="43" xfId="1" applyNumberFormat="1" applyFont="1" applyFill="1" applyBorder="1"/>
    <xf numFmtId="166" fontId="10" fillId="2" borderId="36" xfId="1" applyNumberFormat="1" applyFont="1" applyFill="1" applyBorder="1"/>
    <xf numFmtId="166" fontId="10" fillId="2" borderId="37" xfId="1" applyNumberFormat="1" applyFont="1" applyFill="1" applyBorder="1"/>
    <xf numFmtId="166" fontId="10" fillId="7" borderId="58" xfId="1" applyNumberFormat="1" applyFont="1" applyFill="1" applyBorder="1"/>
    <xf numFmtId="166" fontId="10" fillId="2" borderId="44" xfId="1" applyNumberFormat="1" applyFont="1" applyFill="1" applyBorder="1"/>
    <xf numFmtId="166" fontId="10" fillId="2" borderId="45" xfId="1" applyNumberFormat="1" applyFont="1" applyFill="1" applyBorder="1"/>
    <xf numFmtId="166" fontId="25" fillId="14" borderId="17" xfId="1" applyNumberFormat="1" applyFont="1" applyFill="1" applyBorder="1" applyAlignment="1">
      <alignment horizontal="right"/>
    </xf>
    <xf numFmtId="166" fontId="10" fillId="2" borderId="32" xfId="1" applyNumberFormat="1" applyFont="1" applyFill="1" applyBorder="1"/>
    <xf numFmtId="166" fontId="10" fillId="2" borderId="33" xfId="1" applyNumberFormat="1" applyFont="1" applyFill="1" applyBorder="1"/>
    <xf numFmtId="166" fontId="10" fillId="2" borderId="34" xfId="1" applyNumberFormat="1" applyFont="1" applyFill="1" applyBorder="1"/>
    <xf numFmtId="166" fontId="10" fillId="2" borderId="35" xfId="1" applyNumberFormat="1" applyFont="1" applyFill="1" applyBorder="1"/>
    <xf numFmtId="166" fontId="10" fillId="2" borderId="50" xfId="1" applyNumberFormat="1" applyFont="1" applyFill="1" applyBorder="1"/>
    <xf numFmtId="166" fontId="10" fillId="2" borderId="38" xfId="1" applyNumberFormat="1" applyFont="1" applyFill="1" applyBorder="1"/>
    <xf numFmtId="166" fontId="10" fillId="2" borderId="39" xfId="1" applyNumberFormat="1" applyFont="1" applyFill="1" applyBorder="1"/>
    <xf numFmtId="166" fontId="10" fillId="7" borderId="13" xfId="1" applyNumberFormat="1" applyFont="1" applyFill="1" applyBorder="1"/>
    <xf numFmtId="166" fontId="10" fillId="2" borderId="46" xfId="1" applyNumberFormat="1" applyFont="1" applyFill="1" applyBorder="1"/>
    <xf numFmtId="166" fontId="10" fillId="2" borderId="47" xfId="1" applyNumberFormat="1" applyFont="1" applyFill="1" applyBorder="1"/>
    <xf numFmtId="166" fontId="25" fillId="16" borderId="17" xfId="1" applyNumberFormat="1" applyFont="1" applyFill="1" applyBorder="1" applyAlignment="1">
      <alignment horizontal="right"/>
    </xf>
    <xf numFmtId="166" fontId="25" fillId="16" borderId="22" xfId="1" applyNumberFormat="1" applyFont="1" applyFill="1" applyBorder="1"/>
    <xf numFmtId="166" fontId="25" fillId="17" borderId="17" xfId="1" applyNumberFormat="1" applyFont="1" applyFill="1" applyBorder="1"/>
    <xf numFmtId="166" fontId="10" fillId="2" borderId="51" xfId="1" applyNumberFormat="1" applyFont="1" applyFill="1" applyBorder="1"/>
    <xf numFmtId="166" fontId="25" fillId="6" borderId="17" xfId="1" applyNumberFormat="1" applyFont="1" applyFill="1" applyBorder="1" applyAlignment="1">
      <alignment horizontal="right"/>
    </xf>
    <xf numFmtId="166" fontId="0" fillId="0" borderId="0" xfId="0" applyNumberFormat="1"/>
    <xf numFmtId="0" fontId="0" fillId="8" borderId="59" xfId="0" applyFill="1" applyBorder="1" applyAlignment="1">
      <alignment horizontal="right"/>
    </xf>
    <xf numFmtId="9" fontId="0" fillId="6" borderId="60" xfId="0" applyNumberFormat="1" applyFill="1" applyBorder="1"/>
    <xf numFmtId="166" fontId="0" fillId="0" borderId="36" xfId="1" applyNumberFormat="1" applyFont="1" applyBorder="1" applyAlignment="1">
      <alignment horizontal="right"/>
    </xf>
    <xf numFmtId="0" fontId="0" fillId="7" borderId="57" xfId="0" applyFill="1" applyBorder="1"/>
    <xf numFmtId="166" fontId="0" fillId="0" borderId="0" xfId="1" applyNumberFormat="1" applyFont="1" applyBorder="1"/>
    <xf numFmtId="0" fontId="0" fillId="7" borderId="58" xfId="0" applyFill="1" applyBorder="1"/>
    <xf numFmtId="0" fontId="0" fillId="7" borderId="56" xfId="0" applyFill="1" applyBorder="1"/>
    <xf numFmtId="0" fontId="0" fillId="14" borderId="21" xfId="0" applyFill="1" applyBorder="1"/>
    <xf numFmtId="0" fontId="0" fillId="14" borderId="57" xfId="0" applyFill="1" applyBorder="1"/>
    <xf numFmtId="0" fontId="15" fillId="12" borderId="57" xfId="0" applyFont="1" applyFill="1" applyBorder="1"/>
    <xf numFmtId="0" fontId="0" fillId="18" borderId="60" xfId="0" applyFill="1" applyBorder="1"/>
    <xf numFmtId="166" fontId="0" fillId="0" borderId="57" xfId="1" applyNumberFormat="1" applyFont="1" applyBorder="1" applyAlignment="1">
      <alignment horizontal="right"/>
    </xf>
    <xf numFmtId="166" fontId="0" fillId="0" borderId="58" xfId="1" applyNumberFormat="1" applyFont="1" applyBorder="1" applyAlignment="1">
      <alignment horizontal="right"/>
    </xf>
    <xf numFmtId="166" fontId="0" fillId="14" borderId="21" xfId="1" applyNumberFormat="1" applyFont="1" applyFill="1" applyBorder="1" applyAlignment="1">
      <alignment horizontal="right"/>
    </xf>
    <xf numFmtId="166" fontId="0" fillId="0" borderId="56" xfId="1" applyNumberFormat="1" applyFont="1" applyBorder="1" applyAlignment="1">
      <alignment horizontal="right"/>
    </xf>
    <xf numFmtId="166" fontId="0" fillId="14" borderId="57" xfId="1" applyNumberFormat="1" applyFont="1" applyFill="1" applyBorder="1" applyAlignment="1">
      <alignment horizontal="right"/>
    </xf>
    <xf numFmtId="166" fontId="15" fillId="12" borderId="57" xfId="1" applyNumberFormat="1" applyFont="1" applyFill="1" applyBorder="1" applyAlignment="1">
      <alignment horizontal="right"/>
    </xf>
    <xf numFmtId="10" fontId="0" fillId="18" borderId="60" xfId="3" applyNumberFormat="1" applyFont="1" applyFill="1" applyBorder="1" applyAlignment="1">
      <alignment horizontal="right"/>
    </xf>
    <xf numFmtId="0" fontId="0" fillId="7" borderId="42" xfId="0" applyFill="1" applyBorder="1"/>
    <xf numFmtId="0" fontId="0" fillId="7" borderId="59" xfId="0" applyFill="1" applyBorder="1"/>
    <xf numFmtId="166" fontId="0" fillId="0" borderId="38" xfId="1" applyNumberFormat="1" applyFont="1" applyBorder="1" applyAlignment="1">
      <alignment horizontal="right"/>
    </xf>
    <xf numFmtId="0" fontId="0" fillId="7" borderId="6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166" fontId="0" fillId="0" borderId="63" xfId="1" applyNumberFormat="1" applyFont="1" applyBorder="1"/>
    <xf numFmtId="0" fontId="0" fillId="8" borderId="20" xfId="0" applyFill="1" applyBorder="1"/>
    <xf numFmtId="166" fontId="0" fillId="0" borderId="16" xfId="1" applyNumberFormat="1" applyFont="1" applyBorder="1"/>
    <xf numFmtId="0" fontId="0" fillId="7" borderId="40" xfId="0" applyFill="1" applyBorder="1"/>
    <xf numFmtId="0" fontId="0" fillId="7" borderId="62" xfId="0" applyFill="1" applyBorder="1"/>
    <xf numFmtId="166" fontId="5" fillId="5" borderId="3" xfId="1" applyNumberFormat="1" applyFont="1" applyFill="1" applyBorder="1"/>
    <xf numFmtId="166" fontId="5" fillId="5" borderId="19" xfId="1" applyNumberFormat="1" applyFont="1" applyFill="1" applyBorder="1"/>
    <xf numFmtId="43" fontId="0" fillId="0" borderId="0" xfId="1" applyFont="1"/>
    <xf numFmtId="0" fontId="0" fillId="0" borderId="0" xfId="0" quotePrefix="1"/>
    <xf numFmtId="166" fontId="0" fillId="0" borderId="0" xfId="1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/>
    <xf numFmtId="0" fontId="0" fillId="0" borderId="9" xfId="0" applyBorder="1"/>
    <xf numFmtId="171" fontId="0" fillId="0" borderId="0" xfId="3" applyNumberFormat="1" applyFont="1" applyBorder="1"/>
    <xf numFmtId="17" fontId="0" fillId="0" borderId="0" xfId="0" applyNumberFormat="1"/>
    <xf numFmtId="44" fontId="0" fillId="0" borderId="0" xfId="2" applyFont="1" applyBorder="1"/>
    <xf numFmtId="0" fontId="0" fillId="0" borderId="11" xfId="0" applyBorder="1"/>
    <xf numFmtId="0" fontId="0" fillId="0" borderId="12" xfId="0" applyBorder="1"/>
    <xf numFmtId="17" fontId="0" fillId="0" borderId="8" xfId="0" applyNumberFormat="1" applyBorder="1"/>
    <xf numFmtId="44" fontId="0" fillId="0" borderId="9" xfId="2" applyFont="1" applyBorder="1"/>
    <xf numFmtId="17" fontId="0" fillId="0" borderId="10" xfId="0" applyNumberFormat="1" applyBorder="1"/>
    <xf numFmtId="44" fontId="0" fillId="0" borderId="11" xfId="2" applyFont="1" applyBorder="1"/>
    <xf numFmtId="44" fontId="0" fillId="0" borderId="12" xfId="2" applyFont="1" applyBorder="1"/>
    <xf numFmtId="167" fontId="10" fillId="2" borderId="16" xfId="3" applyNumberFormat="1" applyFont="1" applyFill="1" applyBorder="1"/>
    <xf numFmtId="0" fontId="27" fillId="2" borderId="0" xfId="0" applyFont="1" applyFill="1"/>
    <xf numFmtId="0" fontId="0" fillId="19" borderId="0" xfId="0" applyFill="1"/>
    <xf numFmtId="9" fontId="0" fillId="0" borderId="0" xfId="0" applyNumberFormat="1" applyBorder="1"/>
    <xf numFmtId="166" fontId="0" fillId="2" borderId="0" xfId="1" applyNumberFormat="1" applyFont="1" applyFill="1"/>
    <xf numFmtId="166" fontId="25" fillId="13" borderId="2" xfId="1" applyNumberFormat="1" applyFont="1" applyFill="1" applyBorder="1" applyAlignment="1">
      <alignment horizontal="right"/>
    </xf>
    <xf numFmtId="166" fontId="25" fillId="13" borderId="3" xfId="1" applyNumberFormat="1" applyFont="1" applyFill="1" applyBorder="1"/>
    <xf numFmtId="166" fontId="25" fillId="14" borderId="3" xfId="1" applyNumberFormat="1" applyFont="1" applyFill="1" applyBorder="1"/>
    <xf numFmtId="166" fontId="25" fillId="6" borderId="3" xfId="1" applyNumberFormat="1" applyFont="1" applyFill="1" applyBorder="1"/>
    <xf numFmtId="166" fontId="25" fillId="16" borderId="24" xfId="1" applyNumberFormat="1" applyFont="1" applyFill="1" applyBorder="1"/>
    <xf numFmtId="166" fontId="25" fillId="17" borderId="3" xfId="1" applyNumberFormat="1" applyFont="1" applyFill="1" applyBorder="1"/>
    <xf numFmtId="166" fontId="25" fillId="13" borderId="4" xfId="1" applyNumberFormat="1" applyFont="1" applyFill="1" applyBorder="1"/>
    <xf numFmtId="166" fontId="25" fillId="14" borderId="4" xfId="1" applyNumberFormat="1" applyFont="1" applyFill="1" applyBorder="1"/>
    <xf numFmtId="166" fontId="25" fillId="6" borderId="4" xfId="1" applyNumberFormat="1" applyFont="1" applyFill="1" applyBorder="1"/>
    <xf numFmtId="166" fontId="25" fillId="17" borderId="4" xfId="1" applyNumberFormat="1" applyFont="1" applyFill="1" applyBorder="1"/>
    <xf numFmtId="166" fontId="10" fillId="8" borderId="48" xfId="1" applyNumberFormat="1" applyFont="1" applyFill="1" applyBorder="1" applyAlignment="1">
      <alignment horizontal="center"/>
    </xf>
    <xf numFmtId="168" fontId="20" fillId="15" borderId="19" xfId="2" applyNumberFormat="1" applyFont="1" applyFill="1" applyBorder="1"/>
    <xf numFmtId="0" fontId="18" fillId="2" borderId="21" xfId="0" applyFont="1" applyFill="1" applyBorder="1"/>
    <xf numFmtId="0" fontId="0" fillId="8" borderId="64" xfId="0" applyFill="1" applyBorder="1" applyAlignment="1">
      <alignment horizontal="right"/>
    </xf>
    <xf numFmtId="10" fontId="0" fillId="6" borderId="65" xfId="3" applyNumberFormat="1" applyFont="1" applyFill="1" applyBorder="1"/>
    <xf numFmtId="166" fontId="3" fillId="2" borderId="8" xfId="1" applyNumberFormat="1" applyFont="1" applyFill="1" applyBorder="1"/>
    <xf numFmtId="166" fontId="3" fillId="2" borderId="0" xfId="1" applyNumberFormat="1" applyFont="1" applyFill="1" applyBorder="1"/>
    <xf numFmtId="166" fontId="3" fillId="2" borderId="0" xfId="1" applyNumberFormat="1" applyFont="1" applyFill="1" applyBorder="1" applyAlignment="1">
      <alignment horizontal="right"/>
    </xf>
    <xf numFmtId="167" fontId="7" fillId="2" borderId="11" xfId="3" applyNumberFormat="1" applyFont="1" applyFill="1" applyBorder="1"/>
    <xf numFmtId="0" fontId="3" fillId="3" borderId="48" xfId="1" applyNumberFormat="1" applyFont="1" applyFill="1" applyBorder="1" applyAlignment="1">
      <alignment horizontal="center"/>
    </xf>
    <xf numFmtId="0" fontId="3" fillId="3" borderId="49" xfId="1" applyNumberFormat="1" applyFont="1" applyFill="1" applyBorder="1" applyAlignment="1">
      <alignment horizontal="center"/>
    </xf>
    <xf numFmtId="0" fontId="3" fillId="3" borderId="25" xfId="1" applyNumberFormat="1" applyFont="1" applyFill="1" applyBorder="1" applyAlignment="1">
      <alignment horizontal="center"/>
    </xf>
    <xf numFmtId="0" fontId="3" fillId="3" borderId="26" xfId="1" applyNumberFormat="1" applyFont="1" applyFill="1" applyBorder="1" applyAlignment="1">
      <alignment horizontal="center"/>
    </xf>
    <xf numFmtId="166" fontId="1" fillId="4" borderId="5" xfId="1" applyNumberFormat="1" applyFont="1" applyFill="1" applyBorder="1"/>
    <xf numFmtId="166" fontId="1" fillId="4" borderId="6" xfId="1" applyNumberFormat="1" applyFont="1" applyFill="1" applyBorder="1"/>
    <xf numFmtId="166" fontId="9" fillId="2" borderId="8" xfId="1" applyNumberFormat="1" applyFont="1" applyFill="1" applyBorder="1" applyAlignment="1">
      <alignment horizontal="right"/>
    </xf>
    <xf numFmtId="166" fontId="9" fillId="2" borderId="13" xfId="1" applyNumberFormat="1" applyFont="1" applyFill="1" applyBorder="1"/>
    <xf numFmtId="166" fontId="0" fillId="2" borderId="0" xfId="0" applyNumberFormat="1" applyFill="1"/>
    <xf numFmtId="166" fontId="5" fillId="17" borderId="3" xfId="1" applyNumberFormat="1" applyFont="1" applyFill="1" applyBorder="1"/>
    <xf numFmtId="166" fontId="5" fillId="20" borderId="3" xfId="1" applyNumberFormat="1" applyFont="1" applyFill="1" applyBorder="1"/>
    <xf numFmtId="0" fontId="0" fillId="2" borderId="0" xfId="0" applyFill="1" applyAlignment="1">
      <alignment horizontal="right"/>
    </xf>
    <xf numFmtId="9" fontId="0" fillId="2" borderId="0" xfId="0" applyNumberFormat="1" applyFill="1"/>
    <xf numFmtId="0" fontId="2" fillId="7" borderId="66" xfId="4" applyNumberFormat="1" applyFont="1" applyFill="1" applyBorder="1" applyAlignment="1">
      <alignment horizontal="right"/>
    </xf>
    <xf numFmtId="165" fontId="2" fillId="6" borderId="66" xfId="4" applyNumberFormat="1" applyFont="1" applyFill="1" applyBorder="1" applyAlignment="1">
      <alignment horizontal="center"/>
    </xf>
    <xf numFmtId="169" fontId="10" fillId="6" borderId="66" xfId="4" applyNumberFormat="1" applyFont="1" applyFill="1" applyBorder="1"/>
    <xf numFmtId="9" fontId="10" fillId="6" borderId="66" xfId="4" applyNumberFormat="1" applyFont="1" applyFill="1" applyBorder="1" applyAlignment="1">
      <alignment horizontal="center"/>
    </xf>
    <xf numFmtId="167" fontId="7" fillId="2" borderId="21" xfId="3" applyNumberFormat="1" applyFont="1" applyFill="1" applyBorder="1"/>
    <xf numFmtId="168" fontId="7" fillId="2" borderId="21" xfId="2" applyNumberFormat="1" applyFont="1" applyFill="1" applyBorder="1"/>
    <xf numFmtId="166" fontId="0" fillId="2" borderId="21" xfId="0" applyNumberFormat="1" applyFill="1" applyBorder="1"/>
    <xf numFmtId="0" fontId="0" fillId="2" borderId="21" xfId="0" applyFill="1" applyBorder="1"/>
    <xf numFmtId="166" fontId="9" fillId="2" borderId="8" xfId="1" applyNumberFormat="1" applyFont="1" applyFill="1" applyBorder="1"/>
    <xf numFmtId="167" fontId="6" fillId="2" borderId="10" xfId="3" applyNumberFormat="1" applyFont="1" applyFill="1" applyBorder="1"/>
    <xf numFmtId="166" fontId="7" fillId="2" borderId="21" xfId="1" applyNumberFormat="1" applyFont="1" applyFill="1" applyBorder="1"/>
    <xf numFmtId="166" fontId="7" fillId="2" borderId="5" xfId="1" applyNumberFormat="1" applyFont="1" applyFill="1" applyBorder="1"/>
    <xf numFmtId="0" fontId="3" fillId="3" borderId="28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/>
    </xf>
    <xf numFmtId="166" fontId="7" fillId="2" borderId="29" xfId="1" applyNumberFormat="1" applyFont="1" applyFill="1" applyBorder="1"/>
    <xf numFmtId="166" fontId="5" fillId="9" borderId="24" xfId="1" applyNumberFormat="1" applyFont="1" applyFill="1" applyBorder="1"/>
    <xf numFmtId="166" fontId="6" fillId="2" borderId="29" xfId="1" applyNumberFormat="1" applyFont="1" applyFill="1" applyBorder="1"/>
    <xf numFmtId="166" fontId="7" fillId="2" borderId="31" xfId="1" applyNumberFormat="1" applyFont="1" applyFill="1" applyBorder="1"/>
    <xf numFmtId="166" fontId="7" fillId="2" borderId="9" xfId="1" applyNumberFormat="1" applyFont="1" applyFill="1" applyBorder="1"/>
    <xf numFmtId="166" fontId="13" fillId="2" borderId="7" xfId="1" applyNumberFormat="1" applyFont="1" applyFill="1" applyBorder="1"/>
    <xf numFmtId="166" fontId="6" fillId="2" borderId="9" xfId="1" applyNumberFormat="1" applyFont="1" applyFill="1" applyBorder="1"/>
    <xf numFmtId="166" fontId="9" fillId="2" borderId="9" xfId="1" applyNumberFormat="1" applyFont="1" applyFill="1" applyBorder="1"/>
    <xf numFmtId="167" fontId="7" fillId="2" borderId="22" xfId="3" applyNumberFormat="1" applyFont="1" applyFill="1" applyBorder="1"/>
    <xf numFmtId="167" fontId="10" fillId="2" borderId="12" xfId="3" applyNumberFormat="1" applyFont="1" applyFill="1" applyBorder="1"/>
    <xf numFmtId="167" fontId="6" fillId="2" borderId="12" xfId="3" applyNumberFormat="1" applyFont="1" applyFill="1" applyBorder="1"/>
    <xf numFmtId="166" fontId="7" fillId="2" borderId="7" xfId="1" applyNumberFormat="1" applyFont="1" applyFill="1" applyBorder="1"/>
    <xf numFmtId="166" fontId="6" fillId="2" borderId="12" xfId="1" applyNumberFormat="1" applyFont="1" applyFill="1" applyBorder="1"/>
    <xf numFmtId="166" fontId="7" fillId="2" borderId="12" xfId="1" applyNumberFormat="1" applyFont="1" applyFill="1" applyBorder="1"/>
    <xf numFmtId="168" fontId="7" fillId="2" borderId="22" xfId="2" applyNumberFormat="1" applyFont="1" applyFill="1" applyBorder="1"/>
    <xf numFmtId="166" fontId="5" fillId="17" borderId="24" xfId="1" applyNumberFormat="1" applyFont="1" applyFill="1" applyBorder="1"/>
    <xf numFmtId="166" fontId="0" fillId="2" borderId="22" xfId="0" applyNumberFormat="1" applyFill="1" applyBorder="1"/>
    <xf numFmtId="0" fontId="0" fillId="2" borderId="22" xfId="0" applyFill="1" applyBorder="1"/>
    <xf numFmtId="166" fontId="5" fillId="20" borderId="24" xfId="1" applyNumberFormat="1" applyFont="1" applyFill="1" applyBorder="1"/>
    <xf numFmtId="166" fontId="1" fillId="4" borderId="7" xfId="1" applyNumberFormat="1" applyFont="1" applyFill="1" applyBorder="1"/>
    <xf numFmtId="166" fontId="1" fillId="4" borderId="9" xfId="1" applyNumberFormat="1" applyFont="1" applyFill="1" applyBorder="1"/>
    <xf numFmtId="166" fontId="5" fillId="4" borderId="12" xfId="1" applyNumberFormat="1" applyFont="1" applyFill="1" applyBorder="1" applyAlignment="1">
      <alignment horizontal="center"/>
    </xf>
    <xf numFmtId="0" fontId="3" fillId="3" borderId="27" xfId="1" applyNumberFormat="1" applyFont="1" applyFill="1" applyBorder="1" applyAlignment="1">
      <alignment horizontal="center"/>
    </xf>
    <xf numFmtId="166" fontId="3" fillId="2" borderId="13" xfId="1" applyNumberFormat="1" applyFont="1" applyFill="1" applyBorder="1" applyAlignment="1">
      <alignment horizontal="center"/>
    </xf>
    <xf numFmtId="166" fontId="5" fillId="9" borderId="4" xfId="1" applyNumberFormat="1" applyFont="1" applyFill="1" applyBorder="1"/>
    <xf numFmtId="166" fontId="5" fillId="4" borderId="4" xfId="1" applyNumberFormat="1" applyFont="1" applyFill="1" applyBorder="1"/>
    <xf numFmtId="0" fontId="0" fillId="2" borderId="0" xfId="0" applyFill="1" applyBorder="1"/>
    <xf numFmtId="0" fontId="28" fillId="2" borderId="0" xfId="0" applyFont="1" applyFill="1" applyBorder="1"/>
    <xf numFmtId="0" fontId="27" fillId="2" borderId="0" xfId="0" applyFont="1" applyFill="1" applyBorder="1" applyAlignment="1">
      <alignment horizontal="right"/>
    </xf>
    <xf numFmtId="0" fontId="0" fillId="2" borderId="0" xfId="0" applyFont="1" applyFill="1" applyBorder="1"/>
    <xf numFmtId="166" fontId="5" fillId="5" borderId="4" xfId="1" applyNumberFormat="1" applyFont="1" applyFill="1" applyBorder="1"/>
    <xf numFmtId="168" fontId="7" fillId="2" borderId="0" xfId="2" applyNumberFormat="1" applyFont="1" applyFill="1" applyBorder="1"/>
    <xf numFmtId="166" fontId="5" fillId="17" borderId="4" xfId="1" applyNumberFormat="1" applyFont="1" applyFill="1" applyBorder="1"/>
    <xf numFmtId="0" fontId="0" fillId="2" borderId="8" xfId="0" applyFill="1" applyBorder="1"/>
    <xf numFmtId="0" fontId="0" fillId="2" borderId="0" xfId="0" applyFill="1" applyBorder="1" applyAlignment="1">
      <alignment horizontal="right"/>
    </xf>
    <xf numFmtId="166" fontId="0" fillId="2" borderId="0" xfId="0" applyNumberFormat="1" applyFill="1" applyBorder="1"/>
    <xf numFmtId="166" fontId="5" fillId="20" borderId="4" xfId="1" applyNumberFormat="1" applyFont="1" applyFill="1" applyBorder="1"/>
    <xf numFmtId="2" fontId="0" fillId="2" borderId="0" xfId="0" applyNumberFormat="1" applyFill="1"/>
    <xf numFmtId="0" fontId="0" fillId="2" borderId="6" xfId="0" applyFill="1" applyBorder="1"/>
    <xf numFmtId="0" fontId="0" fillId="2" borderId="7" xfId="0" applyFill="1" applyBorder="1"/>
    <xf numFmtId="2" fontId="0" fillId="2" borderId="0" xfId="0" applyNumberFormat="1" applyFill="1" applyBorder="1"/>
    <xf numFmtId="2" fontId="0" fillId="2" borderId="9" xfId="0" applyNumberFormat="1" applyFill="1" applyBorder="1"/>
    <xf numFmtId="2" fontId="29" fillId="21" borderId="18" xfId="0" applyNumberFormat="1" applyFont="1" applyFill="1" applyBorder="1"/>
    <xf numFmtId="2" fontId="29" fillId="21" borderId="22" xfId="0" applyNumberFormat="1" applyFont="1" applyFill="1" applyBorder="1"/>
    <xf numFmtId="2" fontId="29" fillId="2" borderId="0" xfId="0" applyNumberFormat="1" applyFont="1" applyFill="1" applyBorder="1"/>
    <xf numFmtId="2" fontId="29" fillId="2" borderId="9" xfId="0" applyNumberFormat="1" applyFont="1" applyFill="1" applyBorder="1"/>
    <xf numFmtId="2" fontId="29" fillId="22" borderId="18" xfId="0" applyNumberFormat="1" applyFont="1" applyFill="1" applyBorder="1"/>
    <xf numFmtId="2" fontId="29" fillId="22" borderId="22" xfId="0" applyNumberFormat="1" applyFont="1" applyFill="1" applyBorder="1"/>
    <xf numFmtId="0" fontId="30" fillId="7" borderId="5" xfId="0" applyFont="1" applyFill="1" applyBorder="1"/>
    <xf numFmtId="0" fontId="31" fillId="7" borderId="7" xfId="0" applyFont="1" applyFill="1" applyBorder="1" applyAlignment="1">
      <alignment horizontal="right"/>
    </xf>
    <xf numFmtId="0" fontId="30" fillId="2" borderId="0" xfId="0" applyFont="1" applyFill="1"/>
    <xf numFmtId="0" fontId="30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7" borderId="0" xfId="0" applyFill="1" applyAlignment="1">
      <alignment horizontal="right"/>
    </xf>
    <xf numFmtId="0" fontId="0" fillId="0" borderId="23" xfId="0" applyBorder="1" applyAlignment="1">
      <alignment horizontal="right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32" fillId="23" borderId="17" xfId="0" applyFont="1" applyFill="1" applyBorder="1" applyAlignment="1">
      <alignment horizontal="right"/>
    </xf>
    <xf numFmtId="0" fontId="32" fillId="23" borderId="22" xfId="0" applyFont="1" applyFill="1" applyBorder="1" applyAlignment="1">
      <alignment horizontal="right"/>
    </xf>
    <xf numFmtId="0" fontId="32" fillId="2" borderId="8" xfId="0" applyFont="1" applyFill="1" applyBorder="1" applyAlignment="1">
      <alignment horizontal="right"/>
    </xf>
    <xf numFmtId="0" fontId="32" fillId="2" borderId="9" xfId="0" applyFont="1" applyFill="1" applyBorder="1" applyAlignment="1">
      <alignment horizontal="right"/>
    </xf>
    <xf numFmtId="0" fontId="32" fillId="21" borderId="17" xfId="0" applyFont="1" applyFill="1" applyBorder="1" applyAlignment="1">
      <alignment horizontal="right"/>
    </xf>
    <xf numFmtId="0" fontId="32" fillId="21" borderId="22" xfId="0" applyFont="1" applyFill="1" applyBorder="1" applyAlignment="1">
      <alignment horizontal="right"/>
    </xf>
    <xf numFmtId="0" fontId="30" fillId="2" borderId="8" xfId="0" applyFont="1" applyFill="1" applyBorder="1" applyAlignment="1">
      <alignment horizontal="right"/>
    </xf>
    <xf numFmtId="0" fontId="30" fillId="2" borderId="9" xfId="0" applyFont="1" applyFill="1" applyBorder="1" applyAlignment="1">
      <alignment horizontal="right"/>
    </xf>
    <xf numFmtId="166" fontId="5" fillId="17" borderId="17" xfId="1" applyNumberFormat="1" applyFont="1" applyFill="1" applyBorder="1" applyAlignment="1">
      <alignment horizontal="right"/>
    </xf>
    <xf numFmtId="166" fontId="5" fillId="17" borderId="18" xfId="1" applyNumberFormat="1" applyFont="1" applyFill="1" applyBorder="1" applyAlignment="1">
      <alignment horizontal="right"/>
    </xf>
    <xf numFmtId="166" fontId="5" fillId="17" borderId="24" xfId="1" applyNumberFormat="1" applyFont="1" applyFill="1" applyBorder="1" applyAlignment="1">
      <alignment horizontal="right"/>
    </xf>
    <xf numFmtId="166" fontId="5" fillId="20" borderId="17" xfId="1" applyNumberFormat="1" applyFont="1" applyFill="1" applyBorder="1" applyAlignment="1">
      <alignment horizontal="right"/>
    </xf>
    <xf numFmtId="166" fontId="5" fillId="20" borderId="18" xfId="1" applyNumberFormat="1" applyFont="1" applyFill="1" applyBorder="1" applyAlignment="1">
      <alignment horizontal="right"/>
    </xf>
    <xf numFmtId="166" fontId="5" fillId="20" borderId="24" xfId="1" applyNumberFormat="1" applyFont="1" applyFill="1" applyBorder="1" applyAlignment="1">
      <alignment horizontal="right"/>
    </xf>
    <xf numFmtId="166" fontId="5" fillId="4" borderId="17" xfId="1" quotePrefix="1" applyNumberFormat="1" applyFont="1" applyFill="1" applyBorder="1" applyAlignment="1">
      <alignment horizontal="right"/>
    </xf>
    <xf numFmtId="166" fontId="5" fillId="4" borderId="18" xfId="1" quotePrefix="1" applyNumberFormat="1" applyFont="1" applyFill="1" applyBorder="1" applyAlignment="1">
      <alignment horizontal="right"/>
    </xf>
    <xf numFmtId="166" fontId="5" fillId="5" borderId="17" xfId="1" applyNumberFormat="1" applyFont="1" applyFill="1" applyBorder="1" applyAlignment="1">
      <alignment horizontal="right"/>
    </xf>
    <xf numFmtId="166" fontId="5" fillId="5" borderId="18" xfId="1" applyNumberFormat="1" applyFont="1" applyFill="1" applyBorder="1" applyAlignment="1">
      <alignment horizontal="right"/>
    </xf>
    <xf numFmtId="166" fontId="5" fillId="5" borderId="24" xfId="1" applyNumberFormat="1" applyFont="1" applyFill="1" applyBorder="1" applyAlignment="1">
      <alignment horizontal="right"/>
    </xf>
    <xf numFmtId="166" fontId="4" fillId="4" borderId="5" xfId="1" applyNumberFormat="1" applyFont="1" applyFill="1" applyBorder="1" applyAlignment="1">
      <alignment horizontal="center" vertical="center"/>
    </xf>
    <xf numFmtId="166" fontId="4" fillId="4" borderId="6" xfId="1" applyNumberFormat="1" applyFont="1" applyFill="1" applyBorder="1" applyAlignment="1">
      <alignment horizontal="center" vertical="center"/>
    </xf>
    <xf numFmtId="166" fontId="4" fillId="4" borderId="8" xfId="1" applyNumberFormat="1" applyFont="1" applyFill="1" applyBorder="1" applyAlignment="1">
      <alignment horizontal="center" vertical="center"/>
    </xf>
    <xf numFmtId="166" fontId="4" fillId="4" borderId="0" xfId="1" applyNumberFormat="1" applyFont="1" applyFill="1" applyBorder="1" applyAlignment="1">
      <alignment horizontal="center" vertical="center"/>
    </xf>
    <xf numFmtId="166" fontId="4" fillId="4" borderId="10" xfId="1" applyNumberFormat="1" applyFont="1" applyFill="1" applyBorder="1" applyAlignment="1">
      <alignment horizontal="center" vertical="center"/>
    </xf>
    <xf numFmtId="166" fontId="4" fillId="4" borderId="11" xfId="1" applyNumberFormat="1" applyFont="1" applyFill="1" applyBorder="1" applyAlignment="1">
      <alignment horizontal="center" vertical="center"/>
    </xf>
    <xf numFmtId="1" fontId="20" fillId="11" borderId="17" xfId="0" applyNumberFormat="1" applyFont="1" applyFill="1" applyBorder="1" applyAlignment="1">
      <alignment horizontal="center"/>
    </xf>
    <xf numFmtId="1" fontId="20" fillId="11" borderId="18" xfId="0" applyNumberFormat="1" applyFont="1" applyFill="1" applyBorder="1" applyAlignment="1">
      <alignment horizontal="center"/>
    </xf>
    <xf numFmtId="1" fontId="20" fillId="11" borderId="22" xfId="0" applyNumberFormat="1" applyFont="1" applyFill="1" applyBorder="1" applyAlignment="1">
      <alignment horizontal="center"/>
    </xf>
    <xf numFmtId="3" fontId="20" fillId="5" borderId="17" xfId="0" applyNumberFormat="1" applyFont="1" applyFill="1" applyBorder="1" applyAlignment="1">
      <alignment horizontal="center"/>
    </xf>
    <xf numFmtId="3" fontId="20" fillId="5" borderId="18" xfId="0" applyNumberFormat="1" applyFont="1" applyFill="1" applyBorder="1" applyAlignment="1">
      <alignment horizontal="center"/>
    </xf>
    <xf numFmtId="3" fontId="20" fillId="5" borderId="22" xfId="0" applyNumberFormat="1" applyFont="1" applyFill="1" applyBorder="1" applyAlignment="1">
      <alignment horizontal="center"/>
    </xf>
    <xf numFmtId="3" fontId="20" fillId="15" borderId="17" xfId="0" applyNumberFormat="1" applyFont="1" applyFill="1" applyBorder="1" applyAlignment="1">
      <alignment horizontal="center"/>
    </xf>
    <xf numFmtId="3" fontId="20" fillId="15" borderId="18" xfId="0" applyNumberFormat="1" applyFont="1" applyFill="1" applyBorder="1" applyAlignment="1">
      <alignment horizontal="center"/>
    </xf>
    <xf numFmtId="3" fontId="20" fillId="15" borderId="22" xfId="0" applyNumberFormat="1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20" fillId="11" borderId="17" xfId="0" applyFont="1" applyFill="1" applyBorder="1" applyAlignment="1">
      <alignment horizontal="center"/>
    </xf>
    <xf numFmtId="0" fontId="20" fillId="11" borderId="18" xfId="0" applyFont="1" applyFill="1" applyBorder="1" applyAlignment="1">
      <alignment horizontal="center"/>
    </xf>
    <xf numFmtId="1" fontId="20" fillId="11" borderId="2" xfId="0" applyNumberFormat="1" applyFont="1" applyFill="1" applyBorder="1" applyAlignment="1">
      <alignment horizontal="center"/>
    </xf>
    <xf numFmtId="1" fontId="20" fillId="11" borderId="3" xfId="0" applyNumberFormat="1" applyFont="1" applyFill="1" applyBorder="1" applyAlignment="1">
      <alignment horizontal="center"/>
    </xf>
    <xf numFmtId="1" fontId="20" fillId="11" borderId="4" xfId="0" applyNumberFormat="1" applyFont="1" applyFill="1" applyBorder="1" applyAlignment="1">
      <alignment horizontal="center"/>
    </xf>
    <xf numFmtId="10" fontId="20" fillId="5" borderId="25" xfId="0" applyNumberFormat="1" applyFont="1" applyFill="1" applyBorder="1" applyAlignment="1">
      <alignment horizontal="center"/>
    </xf>
    <xf numFmtId="10" fontId="20" fillId="5" borderId="26" xfId="0" applyNumberFormat="1" applyFont="1" applyFill="1" applyBorder="1" applyAlignment="1">
      <alignment horizontal="center"/>
    </xf>
    <xf numFmtId="10" fontId="20" fillId="5" borderId="27" xfId="0" applyNumberFormat="1" applyFont="1" applyFill="1" applyBorder="1" applyAlignment="1">
      <alignment horizontal="center"/>
    </xf>
    <xf numFmtId="3" fontId="20" fillId="5" borderId="8" xfId="0" applyNumberFormat="1" applyFont="1" applyFill="1" applyBorder="1" applyAlignment="1">
      <alignment horizontal="center"/>
    </xf>
    <xf numFmtId="3" fontId="20" fillId="5" borderId="0" xfId="0" applyNumberFormat="1" applyFont="1" applyFill="1" applyBorder="1" applyAlignment="1">
      <alignment horizontal="center"/>
    </xf>
    <xf numFmtId="3" fontId="20" fillId="5" borderId="5" xfId="0" applyNumberFormat="1" applyFont="1" applyFill="1" applyBorder="1" applyAlignment="1">
      <alignment horizontal="center"/>
    </xf>
    <xf numFmtId="3" fontId="20" fillId="5" borderId="6" xfId="0" applyNumberFormat="1" applyFont="1" applyFill="1" applyBorder="1" applyAlignment="1">
      <alignment horizontal="center"/>
    </xf>
    <xf numFmtId="0" fontId="16" fillId="13" borderId="48" xfId="0" applyFont="1" applyFill="1" applyBorder="1" applyAlignment="1">
      <alignment horizontal="right"/>
    </xf>
    <xf numFmtId="0" fontId="16" fillId="13" borderId="49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6" fillId="13" borderId="8" xfId="0" applyFont="1" applyFill="1" applyBorder="1" applyAlignment="1">
      <alignment horizontal="right"/>
    </xf>
    <xf numFmtId="0" fontId="16" fillId="13" borderId="53" xfId="0" applyFont="1" applyFill="1" applyBorder="1" applyAlignment="1">
      <alignment horizontal="right"/>
    </xf>
    <xf numFmtId="0" fontId="16" fillId="14" borderId="25" xfId="0" applyFont="1" applyFill="1" applyBorder="1" applyAlignment="1">
      <alignment horizontal="right"/>
    </xf>
    <xf numFmtId="0" fontId="16" fillId="14" borderId="26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6" borderId="0" xfId="1" applyNumberFormat="1" applyFont="1" applyFill="1"/>
    <xf numFmtId="1" fontId="30" fillId="7" borderId="6" xfId="1" applyNumberFormat="1" applyFont="1" applyFill="1" applyBorder="1"/>
    <xf numFmtId="1" fontId="30" fillId="7" borderId="7" xfId="1" applyNumberFormat="1" applyFont="1" applyFill="1" applyBorder="1"/>
    <xf numFmtId="1" fontId="32" fillId="21" borderId="18" xfId="1" applyNumberFormat="1" applyFont="1" applyFill="1" applyBorder="1"/>
    <xf numFmtId="1" fontId="32" fillId="21" borderId="22" xfId="1" applyNumberFormat="1" applyFont="1" applyFill="1" applyBorder="1"/>
    <xf numFmtId="1" fontId="30" fillId="2" borderId="0" xfId="1" applyNumberFormat="1" applyFont="1" applyFill="1" applyBorder="1"/>
    <xf numFmtId="1" fontId="30" fillId="2" borderId="9" xfId="1" applyNumberFormat="1" applyFont="1" applyFill="1" applyBorder="1"/>
    <xf numFmtId="1" fontId="32" fillId="2" borderId="0" xfId="1" applyNumberFormat="1" applyFont="1" applyFill="1" applyBorder="1"/>
    <xf numFmtId="1" fontId="32" fillId="2" borderId="9" xfId="1" applyNumberFormat="1" applyFont="1" applyFill="1" applyBorder="1"/>
    <xf numFmtId="1" fontId="32" fillId="23" borderId="18" xfId="1" applyNumberFormat="1" applyFont="1" applyFill="1" applyBorder="1"/>
    <xf numFmtId="1" fontId="32" fillId="23" borderId="22" xfId="1" applyNumberFormat="1" applyFont="1" applyFill="1" applyBorder="1"/>
    <xf numFmtId="1" fontId="30" fillId="2" borderId="0" xfId="1" applyNumberFormat="1" applyFont="1" applyFill="1"/>
  </cellXfs>
  <cellStyles count="5">
    <cellStyle name="Milliers" xfId="1" builtinId="3"/>
    <cellStyle name="Milliers 2" xfId="4" xr:uid="{ABC4498E-24FB-4B3B-AA9B-355A4889EAAD}"/>
    <cellStyle name="Monétaire" xfId="2" builtinId="4"/>
    <cellStyle name="Normal" xfId="0" builtinId="0"/>
    <cellStyle name="Pourcentage" xfId="3" builtinId="5"/>
  </cellStyles>
  <dxfs count="52">
    <dxf>
      <font>
        <color rgb="FFC00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00B05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C00000"/>
      </font>
    </dxf>
    <dxf>
      <font>
        <color rgb="FFFFC000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_(* #,##0&quot; €&quot;_);_(* \(#,##0&quot; €&quot;\);_(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[$-409]d\-mmm\-yy;@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/>
        <horizontal/>
      </border>
    </dxf>
    <dxf>
      <border outline="0">
        <bottom style="thin">
          <color theme="2" tint="-0.24994659260841701"/>
        </bottom>
      </border>
    </dxf>
    <dxf>
      <fill>
        <patternFill patternType="solid">
          <fgColor indexed="64"/>
          <bgColor theme="0" tint="-4.9989318521683403E-2"/>
        </patternFill>
      </fill>
    </dxf>
  </dxfs>
  <tableStyles count="0" defaultTableStyle="TableStyleMedium2" defaultPivotStyle="PivotStyleLight16"/>
  <colors>
    <mruColors>
      <color rgb="FF7F7F7F"/>
      <color rgb="FFAD0F29"/>
      <color rgb="FF0C42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Budgets marketing annuels (€)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C428F"/>
            </a:solidFill>
            <a:ln>
              <a:noFill/>
            </a:ln>
            <a:effectLst/>
          </c:spPr>
          <c:invertIfNegative val="0"/>
          <c:cat>
            <c:numRef>
              <c:f>'Compte de résultat'!$J$2:$N$2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'Compte de résultat'!$J$99:$N$99</c:f>
              <c:numCache>
                <c:formatCode>_-* #\ ##0_-;\-* #\ ##0_-;_-* "-"??_-;_-@_-</c:formatCode>
                <c:ptCount val="5"/>
                <c:pt idx="0">
                  <c:v>190000</c:v>
                </c:pt>
                <c:pt idx="1">
                  <c:v>380000</c:v>
                </c:pt>
                <c:pt idx="2">
                  <c:v>1340000</c:v>
                </c:pt>
                <c:pt idx="3">
                  <c:v>1990000</c:v>
                </c:pt>
                <c:pt idx="4">
                  <c:v>2845000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F-4574-B83B-47E102111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5974896"/>
        <c:axId val="1345978640"/>
      </c:barChart>
      <c:catAx>
        <c:axId val="134597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5978640"/>
        <c:crosses val="autoZero"/>
        <c:auto val="1"/>
        <c:lblAlgn val="ctr"/>
        <c:lblOffset val="100"/>
        <c:noMultiLvlLbl val="0"/>
      </c:catAx>
      <c:valAx>
        <c:axId val="134597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597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415635</xdr:colOff>
      <xdr:row>101</xdr:row>
      <xdr:rowOff>8670</xdr:rowOff>
    </xdr:from>
    <xdr:to>
      <xdr:col>26</xdr:col>
      <xdr:colOff>467590</xdr:colOff>
      <xdr:row>127</xdr:row>
      <xdr:rowOff>84870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46E1F45-0AF7-4540-B6B1-E985B8790A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566735</xdr:colOff>
      <xdr:row>15</xdr:row>
      <xdr:rowOff>161924</xdr:rowOff>
    </xdr:from>
    <xdr:to>
      <xdr:col>11</xdr:col>
      <xdr:colOff>269640</xdr:colOff>
      <xdr:row>28</xdr:row>
      <xdr:rowOff>94278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15E65E9-858D-4D53-945C-4962A3B8E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3" y="2914649"/>
          <a:ext cx="4284430" cy="22850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3AD1CA-0D7D-49C1-89C8-87831AC6F396}" name="Tableau1" displayName="Tableau1" ref="C4:F38" totalsRowShown="0" headerRowDxfId="51" tableBorderDxfId="50">
  <autoFilter ref="C4:F38" xr:uid="{119CB119-50A1-4BB9-A43A-3323BE3C6E91}"/>
  <sortState xmlns:xlrd2="http://schemas.microsoft.com/office/spreadsheetml/2017/richdata2" ref="C5:F38">
    <sortCondition ref="D4:D38"/>
  </sortState>
  <tableColumns count="4">
    <tableColumn id="1" xr3:uid="{1A056F5E-7794-4CD0-91CF-56D1EEF1A089}" name="Fonction" dataDxfId="49" dataCellStyle="Milliers 2"/>
    <tableColumn id="2" xr3:uid="{B3374805-E406-496A-9E1F-DA8FAE5C26F4}" name="Date de recrutement" dataDxfId="48" dataCellStyle="Milliers 2"/>
    <tableColumn id="3" xr3:uid="{B3FB8597-0CD6-45DD-A2F6-9CEF43F29677}" name="Salaire brut" dataDxfId="47" dataCellStyle="Milliers 2"/>
    <tableColumn id="4" xr3:uid="{715B3421-217E-4521-A0BB-C36144222B3A}" name="Taux de CP jusqu'en 2024" dataDxfId="46" dataCellStyle="Milliers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showGridLines="0" topLeftCell="A11" workbookViewId="0">
      <selection activeCell="L42" sqref="L42"/>
    </sheetView>
  </sheetViews>
  <sheetFormatPr baseColWidth="10" defaultColWidth="9.06640625" defaultRowHeight="14.25" x14ac:dyDescent="0.45"/>
  <cols>
    <col min="3" max="3" width="26.9296875" bestFit="1" customWidth="1"/>
    <col min="4" max="4" width="19.59765625" customWidth="1"/>
    <col min="5" max="5" width="11.9296875" customWidth="1"/>
    <col min="6" max="6" width="23.33203125" customWidth="1"/>
    <col min="7" max="7" width="14.265625" bestFit="1" customWidth="1"/>
    <col min="8" max="11" width="10.19921875" bestFit="1" customWidth="1"/>
  </cols>
  <sheetData>
    <row r="1" spans="1:27" x14ac:dyDescent="0.45">
      <c r="G1" s="68">
        <v>44561</v>
      </c>
      <c r="H1" s="68">
        <v>44926</v>
      </c>
      <c r="I1" s="68">
        <v>45291</v>
      </c>
      <c r="J1" s="68">
        <v>45657</v>
      </c>
      <c r="K1" s="68">
        <v>46022</v>
      </c>
      <c r="L1" s="68">
        <v>46387</v>
      </c>
      <c r="M1" s="68">
        <v>46752</v>
      </c>
      <c r="N1" s="68">
        <v>47118</v>
      </c>
      <c r="O1" s="68">
        <v>47483</v>
      </c>
      <c r="P1" s="68">
        <v>47848</v>
      </c>
    </row>
    <row r="2" spans="1:27" x14ac:dyDescent="0.45">
      <c r="D2" s="403" t="s">
        <v>36</v>
      </c>
      <c r="E2" s="403"/>
      <c r="F2" s="403"/>
      <c r="G2" s="64">
        <v>1</v>
      </c>
      <c r="H2" s="64">
        <f>1.03</f>
        <v>1.03</v>
      </c>
      <c r="I2" s="64">
        <v>1.06</v>
      </c>
      <c r="J2" s="64">
        <v>1.0900000000000001</v>
      </c>
      <c r="K2" s="64">
        <v>1.1200000000000001</v>
      </c>
      <c r="L2" s="64">
        <v>1.1499999999999999</v>
      </c>
      <c r="M2" s="64">
        <v>1.17</v>
      </c>
      <c r="N2" s="64">
        <v>1.19</v>
      </c>
      <c r="O2" s="64">
        <v>1.2</v>
      </c>
      <c r="P2" s="64">
        <v>1.21</v>
      </c>
    </row>
    <row r="3" spans="1:27" x14ac:dyDescent="0.45">
      <c r="B3" s="61"/>
      <c r="G3" s="402" t="s">
        <v>171</v>
      </c>
      <c r="H3" s="402"/>
      <c r="I3" s="402"/>
      <c r="J3" s="402"/>
      <c r="K3" s="402"/>
      <c r="R3" s="287" t="s">
        <v>172</v>
      </c>
      <c r="S3" s="287"/>
      <c r="T3" s="287"/>
      <c r="U3" s="287"/>
      <c r="V3" s="287"/>
    </row>
    <row r="4" spans="1:27" x14ac:dyDescent="0.45">
      <c r="C4" s="66" t="s">
        <v>9</v>
      </c>
      <c r="D4" s="67" t="s">
        <v>8</v>
      </c>
      <c r="E4" s="67" t="s">
        <v>35</v>
      </c>
      <c r="F4" s="67" t="s">
        <v>264</v>
      </c>
      <c r="G4">
        <v>2021</v>
      </c>
      <c r="H4">
        <v>2022</v>
      </c>
      <c r="I4">
        <v>2023</v>
      </c>
      <c r="J4">
        <v>2024</v>
      </c>
      <c r="K4">
        <v>2025</v>
      </c>
      <c r="L4">
        <v>2026</v>
      </c>
      <c r="M4">
        <v>2027</v>
      </c>
      <c r="N4">
        <v>2028</v>
      </c>
      <c r="O4">
        <v>2029</v>
      </c>
      <c r="P4">
        <v>2030</v>
      </c>
      <c r="R4">
        <f t="shared" ref="R4:AA4" si="0">G4</f>
        <v>2021</v>
      </c>
      <c r="S4">
        <f t="shared" si="0"/>
        <v>2022</v>
      </c>
      <c r="T4">
        <f t="shared" si="0"/>
        <v>2023</v>
      </c>
      <c r="U4">
        <f t="shared" si="0"/>
        <v>2024</v>
      </c>
      <c r="V4">
        <f t="shared" si="0"/>
        <v>2025</v>
      </c>
      <c r="W4">
        <f t="shared" si="0"/>
        <v>2026</v>
      </c>
      <c r="X4">
        <f t="shared" si="0"/>
        <v>2027</v>
      </c>
      <c r="Y4">
        <f t="shared" si="0"/>
        <v>2028</v>
      </c>
      <c r="Z4">
        <f t="shared" si="0"/>
        <v>2029</v>
      </c>
      <c r="AA4">
        <f t="shared" si="0"/>
        <v>2030</v>
      </c>
    </row>
    <row r="5" spans="1:27" x14ac:dyDescent="0.45">
      <c r="B5" t="s">
        <v>145</v>
      </c>
      <c r="C5" s="65" t="s">
        <v>37</v>
      </c>
      <c r="D5" s="61">
        <v>44562</v>
      </c>
      <c r="E5" s="62">
        <v>4300</v>
      </c>
      <c r="F5" s="63">
        <v>0.17</v>
      </c>
      <c r="G5" s="60">
        <f>IFERROR(IF(DATEDIF($D5,G$1,"M")&gt;12,12,DATEDIF($D5,G$1,"M")),0)*$E5*G$2</f>
        <v>0</v>
      </c>
      <c r="H5" s="60">
        <f t="shared" ref="H5:P20" si="1">IFERROR(IF(DATEDIF($D5,H$1,"M")&gt;12,12,DATEDIF($D5,H$1,"M")),0)*$E5*H$2</f>
        <v>48719</v>
      </c>
      <c r="I5" s="60">
        <f t="shared" si="1"/>
        <v>54696</v>
      </c>
      <c r="J5" s="60">
        <f t="shared" si="1"/>
        <v>56244.000000000007</v>
      </c>
      <c r="K5" s="60">
        <f t="shared" si="1"/>
        <v>57792.000000000007</v>
      </c>
      <c r="L5" s="60">
        <f t="shared" si="1"/>
        <v>59339.999999999993</v>
      </c>
      <c r="M5" s="60">
        <f t="shared" si="1"/>
        <v>60371.999999999993</v>
      </c>
      <c r="N5" s="60">
        <f t="shared" si="1"/>
        <v>61404</v>
      </c>
      <c r="O5" s="60">
        <f t="shared" si="1"/>
        <v>61920</v>
      </c>
      <c r="P5" s="60">
        <f t="shared" si="1"/>
        <v>62436</v>
      </c>
      <c r="R5" s="167">
        <f>IF($F5=40%,G5,0)</f>
        <v>0</v>
      </c>
      <c r="S5" s="167">
        <f t="shared" ref="S5:AA5" si="2">IF($F5=40%,H5,0)</f>
        <v>0</v>
      </c>
      <c r="T5" s="167">
        <f t="shared" si="2"/>
        <v>0</v>
      </c>
      <c r="U5" s="167">
        <f t="shared" si="2"/>
        <v>0</v>
      </c>
      <c r="V5" s="167">
        <f t="shared" si="2"/>
        <v>0</v>
      </c>
      <c r="W5" s="167">
        <f t="shared" si="2"/>
        <v>0</v>
      </c>
      <c r="X5" s="167">
        <f t="shared" si="2"/>
        <v>0</v>
      </c>
      <c r="Y5" s="167">
        <f t="shared" si="2"/>
        <v>0</v>
      </c>
      <c r="Z5" s="167">
        <f t="shared" si="2"/>
        <v>0</v>
      </c>
      <c r="AA5" s="167">
        <f t="shared" si="2"/>
        <v>0</v>
      </c>
    </row>
    <row r="6" spans="1:27" x14ac:dyDescent="0.45">
      <c r="A6" s="1"/>
      <c r="B6" t="s">
        <v>278</v>
      </c>
      <c r="C6" s="65" t="s">
        <v>40</v>
      </c>
      <c r="D6" s="61">
        <v>44562</v>
      </c>
      <c r="E6" s="62">
        <v>2900</v>
      </c>
      <c r="F6" s="63">
        <v>0.4</v>
      </c>
      <c r="G6" s="60">
        <f t="shared" ref="G6:P27" si="3">IFERROR(IF(DATEDIF($D6,G$1,"M")&gt;12,12,DATEDIF($D6,G$1,"M")),0)*$E6*G$2</f>
        <v>0</v>
      </c>
      <c r="H6" s="60">
        <f t="shared" si="1"/>
        <v>32857</v>
      </c>
      <c r="I6" s="60">
        <f t="shared" si="1"/>
        <v>36888</v>
      </c>
      <c r="J6" s="60">
        <f t="shared" si="1"/>
        <v>37932</v>
      </c>
      <c r="K6" s="60">
        <f t="shared" si="1"/>
        <v>38976.000000000007</v>
      </c>
      <c r="L6" s="60">
        <f t="shared" si="1"/>
        <v>40020</v>
      </c>
      <c r="M6" s="60">
        <f t="shared" si="1"/>
        <v>40716</v>
      </c>
      <c r="N6" s="60">
        <f t="shared" si="1"/>
        <v>41412</v>
      </c>
      <c r="O6" s="60">
        <f t="shared" si="1"/>
        <v>41760</v>
      </c>
      <c r="P6" s="60">
        <f t="shared" si="1"/>
        <v>42108</v>
      </c>
      <c r="R6" s="167">
        <f t="shared" ref="R6:R38" si="4">IF($F6=40%,G6,0)</f>
        <v>0</v>
      </c>
      <c r="S6" s="167">
        <f t="shared" ref="S6:S38" si="5">IF($F6=40%,H6,0)</f>
        <v>32857</v>
      </c>
      <c r="T6" s="167">
        <f t="shared" ref="T6:T38" si="6">IF($F6=40%,I6,0)</f>
        <v>36888</v>
      </c>
      <c r="U6" s="167">
        <f t="shared" ref="U6:U38" si="7">IF($F6=40%,J6,0)</f>
        <v>37932</v>
      </c>
      <c r="V6" s="167">
        <f t="shared" ref="V6:V38" si="8">IF($F6=40%,K6,0)</f>
        <v>38976.000000000007</v>
      </c>
      <c r="W6" s="167">
        <f t="shared" ref="W6:W38" si="9">IF($F6=40%,L6,0)</f>
        <v>40020</v>
      </c>
      <c r="X6" s="167">
        <f t="shared" ref="X6:X38" si="10">IF($F6=40%,M6,0)</f>
        <v>40716</v>
      </c>
      <c r="Y6" s="167">
        <f t="shared" ref="Y6:Y38" si="11">IF($F6=40%,N6,0)</f>
        <v>41412</v>
      </c>
      <c r="Z6" s="167">
        <f t="shared" ref="Z6:Z38" si="12">IF($F6=40%,O6,0)</f>
        <v>41760</v>
      </c>
      <c r="AA6" s="167">
        <f t="shared" ref="AA6:AA38" si="13">IF($F6=40%,P6,0)</f>
        <v>42108</v>
      </c>
    </row>
    <row r="7" spans="1:27" x14ac:dyDescent="0.45">
      <c r="A7" s="1"/>
      <c r="B7" t="s">
        <v>145</v>
      </c>
      <c r="C7" s="65" t="s">
        <v>0</v>
      </c>
      <c r="D7" s="61">
        <v>44562</v>
      </c>
      <c r="E7" s="62">
        <v>7000</v>
      </c>
      <c r="F7" s="63">
        <v>0.17</v>
      </c>
      <c r="G7" s="60">
        <f t="shared" si="3"/>
        <v>0</v>
      </c>
      <c r="H7" s="60">
        <f t="shared" si="1"/>
        <v>79310</v>
      </c>
      <c r="I7" s="60">
        <f t="shared" si="1"/>
        <v>89040</v>
      </c>
      <c r="J7" s="60">
        <f t="shared" si="1"/>
        <v>91560</v>
      </c>
      <c r="K7" s="60">
        <f t="shared" si="1"/>
        <v>94080.000000000015</v>
      </c>
      <c r="L7" s="60">
        <f t="shared" si="1"/>
        <v>96599.999999999985</v>
      </c>
      <c r="M7" s="60">
        <f t="shared" si="1"/>
        <v>98280</v>
      </c>
      <c r="N7" s="60">
        <f t="shared" si="1"/>
        <v>99960</v>
      </c>
      <c r="O7" s="60">
        <f t="shared" si="1"/>
        <v>100800</v>
      </c>
      <c r="P7" s="60">
        <f t="shared" si="1"/>
        <v>101640</v>
      </c>
      <c r="R7" s="167">
        <f t="shared" si="4"/>
        <v>0</v>
      </c>
      <c r="S7" s="167">
        <f t="shared" si="5"/>
        <v>0</v>
      </c>
      <c r="T7" s="167">
        <f t="shared" si="6"/>
        <v>0</v>
      </c>
      <c r="U7" s="167">
        <f t="shared" si="7"/>
        <v>0</v>
      </c>
      <c r="V7" s="167">
        <f t="shared" si="8"/>
        <v>0</v>
      </c>
      <c r="W7" s="167">
        <f t="shared" si="9"/>
        <v>0</v>
      </c>
      <c r="X7" s="167">
        <f t="shared" si="10"/>
        <v>0</v>
      </c>
      <c r="Y7" s="167">
        <f t="shared" si="11"/>
        <v>0</v>
      </c>
      <c r="Z7" s="167">
        <f t="shared" si="12"/>
        <v>0</v>
      </c>
      <c r="AA7" s="167">
        <f t="shared" si="13"/>
        <v>0</v>
      </c>
    </row>
    <row r="8" spans="1:27" x14ac:dyDescent="0.45">
      <c r="A8" s="1"/>
      <c r="B8" t="s">
        <v>279</v>
      </c>
      <c r="C8" s="65" t="s">
        <v>2</v>
      </c>
      <c r="D8" s="61">
        <v>44562</v>
      </c>
      <c r="E8" s="62">
        <v>4300</v>
      </c>
      <c r="F8" s="63">
        <v>0.17</v>
      </c>
      <c r="G8" s="60">
        <f t="shared" si="3"/>
        <v>0</v>
      </c>
      <c r="H8" s="60">
        <f t="shared" si="1"/>
        <v>48719</v>
      </c>
      <c r="I8" s="60">
        <f t="shared" si="1"/>
        <v>54696</v>
      </c>
      <c r="J8" s="60">
        <f t="shared" si="1"/>
        <v>56244.000000000007</v>
      </c>
      <c r="K8" s="60">
        <f t="shared" si="1"/>
        <v>57792.000000000007</v>
      </c>
      <c r="L8" s="60">
        <f t="shared" si="1"/>
        <v>59339.999999999993</v>
      </c>
      <c r="M8" s="60">
        <f t="shared" si="1"/>
        <v>60371.999999999993</v>
      </c>
      <c r="N8" s="60">
        <f t="shared" si="1"/>
        <v>61404</v>
      </c>
      <c r="O8" s="60">
        <f t="shared" si="1"/>
        <v>61920</v>
      </c>
      <c r="P8" s="60">
        <f t="shared" si="1"/>
        <v>62436</v>
      </c>
      <c r="R8" s="167">
        <f t="shared" si="4"/>
        <v>0</v>
      </c>
      <c r="S8" s="167">
        <f t="shared" si="5"/>
        <v>0</v>
      </c>
      <c r="T8" s="167">
        <f t="shared" si="6"/>
        <v>0</v>
      </c>
      <c r="U8" s="167">
        <f t="shared" si="7"/>
        <v>0</v>
      </c>
      <c r="V8" s="167">
        <f t="shared" si="8"/>
        <v>0</v>
      </c>
      <c r="W8" s="167">
        <f t="shared" si="9"/>
        <v>0</v>
      </c>
      <c r="X8" s="167">
        <f t="shared" si="10"/>
        <v>0</v>
      </c>
      <c r="Y8" s="167">
        <f t="shared" si="11"/>
        <v>0</v>
      </c>
      <c r="Z8" s="167">
        <f t="shared" si="12"/>
        <v>0</v>
      </c>
      <c r="AA8" s="167">
        <f t="shared" si="13"/>
        <v>0</v>
      </c>
    </row>
    <row r="9" spans="1:27" x14ac:dyDescent="0.45">
      <c r="A9" s="1"/>
      <c r="B9" t="s">
        <v>145</v>
      </c>
      <c r="C9" s="65" t="s">
        <v>45</v>
      </c>
      <c r="D9" s="61">
        <v>44562</v>
      </c>
      <c r="E9" s="62">
        <v>4300</v>
      </c>
      <c r="F9" s="63">
        <v>0.17</v>
      </c>
      <c r="G9" s="60">
        <f t="shared" si="3"/>
        <v>0</v>
      </c>
      <c r="H9" s="60">
        <f t="shared" si="1"/>
        <v>48719</v>
      </c>
      <c r="I9" s="60">
        <f t="shared" si="1"/>
        <v>54696</v>
      </c>
      <c r="J9" s="60">
        <f t="shared" si="1"/>
        <v>56244.000000000007</v>
      </c>
      <c r="K9" s="60">
        <f t="shared" si="1"/>
        <v>57792.000000000007</v>
      </c>
      <c r="L9" s="60">
        <f t="shared" si="1"/>
        <v>59339.999999999993</v>
      </c>
      <c r="M9" s="60">
        <f t="shared" si="1"/>
        <v>60371.999999999993</v>
      </c>
      <c r="N9" s="60">
        <f t="shared" si="1"/>
        <v>61404</v>
      </c>
      <c r="O9" s="60">
        <f t="shared" si="1"/>
        <v>61920</v>
      </c>
      <c r="P9" s="60">
        <f t="shared" si="1"/>
        <v>62436</v>
      </c>
      <c r="R9" s="167">
        <f t="shared" si="4"/>
        <v>0</v>
      </c>
      <c r="S9" s="167">
        <f t="shared" si="5"/>
        <v>0</v>
      </c>
      <c r="T9" s="167">
        <f t="shared" si="6"/>
        <v>0</v>
      </c>
      <c r="U9" s="167">
        <f t="shared" si="7"/>
        <v>0</v>
      </c>
      <c r="V9" s="167">
        <f t="shared" si="8"/>
        <v>0</v>
      </c>
      <c r="W9" s="167">
        <f t="shared" si="9"/>
        <v>0</v>
      </c>
      <c r="X9" s="167">
        <f t="shared" si="10"/>
        <v>0</v>
      </c>
      <c r="Y9" s="167">
        <f t="shared" si="11"/>
        <v>0</v>
      </c>
      <c r="Z9" s="167">
        <f t="shared" si="12"/>
        <v>0</v>
      </c>
      <c r="AA9" s="167">
        <f t="shared" si="13"/>
        <v>0</v>
      </c>
    </row>
    <row r="10" spans="1:27" x14ac:dyDescent="0.45">
      <c r="A10" s="1"/>
      <c r="B10" t="s">
        <v>145</v>
      </c>
      <c r="C10" s="65" t="s">
        <v>38</v>
      </c>
      <c r="D10" s="61">
        <v>44593</v>
      </c>
      <c r="E10" s="62">
        <v>4300</v>
      </c>
      <c r="F10" s="63">
        <v>0.17</v>
      </c>
      <c r="G10" s="60">
        <f t="shared" si="3"/>
        <v>0</v>
      </c>
      <c r="H10" s="60">
        <f t="shared" si="1"/>
        <v>44290</v>
      </c>
      <c r="I10" s="60">
        <f t="shared" si="1"/>
        <v>54696</v>
      </c>
      <c r="J10" s="60">
        <f t="shared" si="1"/>
        <v>56244.000000000007</v>
      </c>
      <c r="K10" s="60">
        <f t="shared" si="1"/>
        <v>57792.000000000007</v>
      </c>
      <c r="L10" s="60">
        <f t="shared" si="1"/>
        <v>59339.999999999993</v>
      </c>
      <c r="M10" s="60">
        <f t="shared" si="1"/>
        <v>60371.999999999993</v>
      </c>
      <c r="N10" s="60">
        <f t="shared" si="1"/>
        <v>61404</v>
      </c>
      <c r="O10" s="60">
        <f t="shared" si="1"/>
        <v>61920</v>
      </c>
      <c r="P10" s="60">
        <f t="shared" si="1"/>
        <v>62436</v>
      </c>
      <c r="R10" s="167">
        <f t="shared" si="4"/>
        <v>0</v>
      </c>
      <c r="S10" s="167">
        <f t="shared" si="5"/>
        <v>0</v>
      </c>
      <c r="T10" s="167">
        <f t="shared" si="6"/>
        <v>0</v>
      </c>
      <c r="U10" s="167">
        <f t="shared" si="7"/>
        <v>0</v>
      </c>
      <c r="V10" s="167">
        <f t="shared" si="8"/>
        <v>0</v>
      </c>
      <c r="W10" s="167">
        <f t="shared" si="9"/>
        <v>0</v>
      </c>
      <c r="X10" s="167">
        <f t="shared" si="10"/>
        <v>0</v>
      </c>
      <c r="Y10" s="167">
        <f t="shared" si="11"/>
        <v>0</v>
      </c>
      <c r="Z10" s="167">
        <f t="shared" si="12"/>
        <v>0</v>
      </c>
      <c r="AA10" s="167">
        <f t="shared" si="13"/>
        <v>0</v>
      </c>
    </row>
    <row r="11" spans="1:27" x14ac:dyDescent="0.45">
      <c r="A11" s="75">
        <v>1</v>
      </c>
      <c r="B11" t="s">
        <v>140</v>
      </c>
      <c r="C11" s="65" t="s">
        <v>291</v>
      </c>
      <c r="D11" s="61">
        <v>44774</v>
      </c>
      <c r="E11" s="62">
        <f>A11*3500</f>
        <v>3500</v>
      </c>
      <c r="F11" s="63">
        <v>0.4</v>
      </c>
      <c r="G11" s="60">
        <f t="shared" si="3"/>
        <v>0</v>
      </c>
      <c r="H11" s="60">
        <f t="shared" si="1"/>
        <v>14420</v>
      </c>
      <c r="I11" s="60">
        <f t="shared" si="1"/>
        <v>44520</v>
      </c>
      <c r="J11" s="60">
        <f t="shared" si="1"/>
        <v>45780</v>
      </c>
      <c r="K11" s="60">
        <f t="shared" si="1"/>
        <v>47040.000000000007</v>
      </c>
      <c r="L11" s="60">
        <f t="shared" si="1"/>
        <v>48299.999999999993</v>
      </c>
      <c r="M11" s="60">
        <f t="shared" si="1"/>
        <v>49140</v>
      </c>
      <c r="N11" s="60">
        <f t="shared" si="1"/>
        <v>49980</v>
      </c>
      <c r="O11" s="60">
        <f t="shared" si="1"/>
        <v>50400</v>
      </c>
      <c r="P11" s="60">
        <f t="shared" si="1"/>
        <v>50820</v>
      </c>
      <c r="R11" s="167">
        <f t="shared" si="4"/>
        <v>0</v>
      </c>
      <c r="S11" s="167">
        <f t="shared" si="5"/>
        <v>14420</v>
      </c>
      <c r="T11" s="167">
        <f t="shared" si="6"/>
        <v>44520</v>
      </c>
      <c r="U11" s="167">
        <f t="shared" si="7"/>
        <v>45780</v>
      </c>
      <c r="V11" s="167">
        <f t="shared" si="8"/>
        <v>47040.000000000007</v>
      </c>
      <c r="W11" s="167">
        <f t="shared" si="9"/>
        <v>48299.999999999993</v>
      </c>
      <c r="X11" s="167">
        <f t="shared" si="10"/>
        <v>49140</v>
      </c>
      <c r="Y11" s="167">
        <f t="shared" si="11"/>
        <v>49980</v>
      </c>
      <c r="Z11" s="167">
        <f t="shared" si="12"/>
        <v>50400</v>
      </c>
      <c r="AA11" s="167">
        <f t="shared" si="13"/>
        <v>50820</v>
      </c>
    </row>
    <row r="12" spans="1:27" x14ac:dyDescent="0.45">
      <c r="A12" s="1"/>
      <c r="B12" t="s">
        <v>279</v>
      </c>
      <c r="C12" s="65" t="s">
        <v>182</v>
      </c>
      <c r="D12" s="61">
        <v>44562</v>
      </c>
      <c r="E12" s="62">
        <v>5200</v>
      </c>
      <c r="F12" s="63">
        <v>0.4</v>
      </c>
      <c r="G12" s="60">
        <f t="shared" si="3"/>
        <v>0</v>
      </c>
      <c r="H12" s="60">
        <f t="shared" si="1"/>
        <v>58916</v>
      </c>
      <c r="I12" s="60">
        <f t="shared" si="1"/>
        <v>66144</v>
      </c>
      <c r="J12" s="60">
        <f t="shared" si="1"/>
        <v>68016</v>
      </c>
      <c r="K12" s="60">
        <f t="shared" si="1"/>
        <v>69888</v>
      </c>
      <c r="L12" s="60">
        <f t="shared" si="1"/>
        <v>71760</v>
      </c>
      <c r="M12" s="60">
        <f t="shared" si="1"/>
        <v>73008</v>
      </c>
      <c r="N12" s="60">
        <f t="shared" si="1"/>
        <v>74256</v>
      </c>
      <c r="O12" s="60">
        <f t="shared" si="1"/>
        <v>74880</v>
      </c>
      <c r="P12" s="60">
        <f t="shared" si="1"/>
        <v>75504</v>
      </c>
      <c r="R12" s="167">
        <f t="shared" si="4"/>
        <v>0</v>
      </c>
      <c r="S12" s="167">
        <f t="shared" si="5"/>
        <v>58916</v>
      </c>
      <c r="T12" s="167">
        <f t="shared" si="6"/>
        <v>66144</v>
      </c>
      <c r="U12" s="167">
        <f t="shared" si="7"/>
        <v>68016</v>
      </c>
      <c r="V12" s="167">
        <f t="shared" si="8"/>
        <v>69888</v>
      </c>
      <c r="W12" s="167">
        <f t="shared" si="9"/>
        <v>71760</v>
      </c>
      <c r="X12" s="167">
        <f t="shared" si="10"/>
        <v>73008</v>
      </c>
      <c r="Y12" s="167">
        <f t="shared" si="11"/>
        <v>74256</v>
      </c>
      <c r="Z12" s="167">
        <f t="shared" si="12"/>
        <v>74880</v>
      </c>
      <c r="AA12" s="167">
        <f t="shared" si="13"/>
        <v>75504</v>
      </c>
    </row>
    <row r="13" spans="1:27" x14ac:dyDescent="0.45">
      <c r="B13" t="s">
        <v>279</v>
      </c>
      <c r="C13" s="65" t="s">
        <v>52</v>
      </c>
      <c r="D13" s="61">
        <v>44593</v>
      </c>
      <c r="E13" s="62">
        <v>3700</v>
      </c>
      <c r="F13" s="63">
        <v>0.17</v>
      </c>
      <c r="G13" s="60">
        <f t="shared" si="3"/>
        <v>0</v>
      </c>
      <c r="H13" s="60">
        <f t="shared" si="1"/>
        <v>38110</v>
      </c>
      <c r="I13" s="60">
        <f t="shared" si="1"/>
        <v>47064</v>
      </c>
      <c r="J13" s="60">
        <f t="shared" si="1"/>
        <v>48396</v>
      </c>
      <c r="K13" s="60">
        <f t="shared" si="1"/>
        <v>49728.000000000007</v>
      </c>
      <c r="L13" s="60">
        <f t="shared" si="1"/>
        <v>51059.999999999993</v>
      </c>
      <c r="M13" s="60">
        <f t="shared" si="1"/>
        <v>51948</v>
      </c>
      <c r="N13" s="60">
        <f t="shared" si="1"/>
        <v>52836</v>
      </c>
      <c r="O13" s="60">
        <f t="shared" si="1"/>
        <v>53280</v>
      </c>
      <c r="P13" s="60">
        <f t="shared" si="1"/>
        <v>53724</v>
      </c>
      <c r="R13" s="167">
        <f t="shared" si="4"/>
        <v>0</v>
      </c>
      <c r="S13" s="167">
        <f t="shared" si="5"/>
        <v>0</v>
      </c>
      <c r="T13" s="167">
        <f t="shared" si="6"/>
        <v>0</v>
      </c>
      <c r="U13" s="167">
        <f t="shared" si="7"/>
        <v>0</v>
      </c>
      <c r="V13" s="167">
        <f t="shared" si="8"/>
        <v>0</v>
      </c>
      <c r="W13" s="167">
        <f t="shared" si="9"/>
        <v>0</v>
      </c>
      <c r="X13" s="167">
        <f t="shared" si="10"/>
        <v>0</v>
      </c>
      <c r="Y13" s="167">
        <f t="shared" si="11"/>
        <v>0</v>
      </c>
      <c r="Z13" s="167">
        <f t="shared" si="12"/>
        <v>0</v>
      </c>
      <c r="AA13" s="167">
        <f t="shared" si="13"/>
        <v>0</v>
      </c>
    </row>
    <row r="14" spans="1:27" x14ac:dyDescent="0.45">
      <c r="B14" t="s">
        <v>279</v>
      </c>
      <c r="C14" s="65" t="s">
        <v>3</v>
      </c>
      <c r="D14" s="61">
        <v>44682</v>
      </c>
      <c r="E14" s="62">
        <v>3000</v>
      </c>
      <c r="F14" s="63">
        <v>0.17</v>
      </c>
      <c r="G14" s="60">
        <f t="shared" si="3"/>
        <v>0</v>
      </c>
      <c r="H14" s="60">
        <f t="shared" si="1"/>
        <v>21630</v>
      </c>
      <c r="I14" s="60">
        <f t="shared" si="1"/>
        <v>38160</v>
      </c>
      <c r="J14" s="60">
        <f t="shared" si="1"/>
        <v>39240</v>
      </c>
      <c r="K14" s="60">
        <f t="shared" si="1"/>
        <v>40320.000000000007</v>
      </c>
      <c r="L14" s="60">
        <f t="shared" si="1"/>
        <v>41400</v>
      </c>
      <c r="M14" s="60">
        <f t="shared" si="1"/>
        <v>42120</v>
      </c>
      <c r="N14" s="60">
        <f t="shared" si="1"/>
        <v>42840</v>
      </c>
      <c r="O14" s="60">
        <f t="shared" si="1"/>
        <v>43200</v>
      </c>
      <c r="P14" s="60">
        <f t="shared" si="1"/>
        <v>43560</v>
      </c>
      <c r="R14" s="167">
        <f t="shared" si="4"/>
        <v>0</v>
      </c>
      <c r="S14" s="167">
        <f t="shared" si="5"/>
        <v>0</v>
      </c>
      <c r="T14" s="167">
        <f t="shared" si="6"/>
        <v>0</v>
      </c>
      <c r="U14" s="167">
        <f t="shared" si="7"/>
        <v>0</v>
      </c>
      <c r="V14" s="167">
        <f t="shared" si="8"/>
        <v>0</v>
      </c>
      <c r="W14" s="167">
        <f t="shared" si="9"/>
        <v>0</v>
      </c>
      <c r="X14" s="167">
        <f t="shared" si="10"/>
        <v>0</v>
      </c>
      <c r="Y14" s="167">
        <f t="shared" si="11"/>
        <v>0</v>
      </c>
      <c r="Z14" s="167">
        <f t="shared" si="12"/>
        <v>0</v>
      </c>
      <c r="AA14" s="167">
        <f t="shared" si="13"/>
        <v>0</v>
      </c>
    </row>
    <row r="15" spans="1:27" x14ac:dyDescent="0.45">
      <c r="B15" t="s">
        <v>145</v>
      </c>
      <c r="C15" s="65" t="s">
        <v>39</v>
      </c>
      <c r="D15" s="61">
        <v>44713</v>
      </c>
      <c r="E15" s="62">
        <v>4300</v>
      </c>
      <c r="F15" s="63">
        <v>0.17</v>
      </c>
      <c r="G15" s="60">
        <f t="shared" si="3"/>
        <v>0</v>
      </c>
      <c r="H15" s="60">
        <f t="shared" si="1"/>
        <v>26574</v>
      </c>
      <c r="I15" s="60">
        <f t="shared" si="1"/>
        <v>54696</v>
      </c>
      <c r="J15" s="60">
        <f t="shared" si="1"/>
        <v>56244.000000000007</v>
      </c>
      <c r="K15" s="60">
        <f t="shared" si="1"/>
        <v>57792.000000000007</v>
      </c>
      <c r="L15" s="60">
        <f t="shared" si="1"/>
        <v>59339.999999999993</v>
      </c>
      <c r="M15" s="60">
        <f t="shared" si="1"/>
        <v>60371.999999999993</v>
      </c>
      <c r="N15" s="60">
        <f t="shared" si="1"/>
        <v>61404</v>
      </c>
      <c r="O15" s="60">
        <f t="shared" si="1"/>
        <v>61920</v>
      </c>
      <c r="P15" s="60">
        <f t="shared" si="1"/>
        <v>62436</v>
      </c>
      <c r="R15" s="167">
        <f t="shared" si="4"/>
        <v>0</v>
      </c>
      <c r="S15" s="167">
        <f t="shared" si="5"/>
        <v>0</v>
      </c>
      <c r="T15" s="167">
        <f t="shared" si="6"/>
        <v>0</v>
      </c>
      <c r="U15" s="167">
        <f t="shared" si="7"/>
        <v>0</v>
      </c>
      <c r="V15" s="167">
        <f t="shared" si="8"/>
        <v>0</v>
      </c>
      <c r="W15" s="167">
        <f t="shared" si="9"/>
        <v>0</v>
      </c>
      <c r="X15" s="167">
        <f t="shared" si="10"/>
        <v>0</v>
      </c>
      <c r="Y15" s="167">
        <f t="shared" si="11"/>
        <v>0</v>
      </c>
      <c r="Z15" s="167">
        <f t="shared" si="12"/>
        <v>0</v>
      </c>
      <c r="AA15" s="167">
        <f t="shared" si="13"/>
        <v>0</v>
      </c>
    </row>
    <row r="16" spans="1:27" x14ac:dyDescent="0.45">
      <c r="B16" t="s">
        <v>279</v>
      </c>
      <c r="C16" s="65" t="s">
        <v>3</v>
      </c>
      <c r="D16" s="61">
        <v>44927</v>
      </c>
      <c r="E16" s="62">
        <v>3000</v>
      </c>
      <c r="F16" s="63">
        <v>0.17</v>
      </c>
      <c r="G16" s="60">
        <f t="shared" si="3"/>
        <v>0</v>
      </c>
      <c r="H16" s="60">
        <f t="shared" si="1"/>
        <v>0</v>
      </c>
      <c r="I16" s="60">
        <f t="shared" si="1"/>
        <v>34980</v>
      </c>
      <c r="J16" s="60">
        <f t="shared" si="1"/>
        <v>39240</v>
      </c>
      <c r="K16" s="60">
        <f t="shared" si="1"/>
        <v>40320.000000000007</v>
      </c>
      <c r="L16" s="60">
        <f t="shared" si="1"/>
        <v>41400</v>
      </c>
      <c r="M16" s="60">
        <f t="shared" si="1"/>
        <v>42120</v>
      </c>
      <c r="N16" s="60">
        <f t="shared" si="1"/>
        <v>42840</v>
      </c>
      <c r="O16" s="60">
        <f t="shared" si="1"/>
        <v>43200</v>
      </c>
      <c r="P16" s="60">
        <f t="shared" si="1"/>
        <v>43560</v>
      </c>
      <c r="R16" s="167">
        <f t="shared" si="4"/>
        <v>0</v>
      </c>
      <c r="S16" s="167">
        <f t="shared" si="5"/>
        <v>0</v>
      </c>
      <c r="T16" s="167">
        <f t="shared" si="6"/>
        <v>0</v>
      </c>
      <c r="U16" s="167">
        <f t="shared" si="7"/>
        <v>0</v>
      </c>
      <c r="V16" s="167">
        <f t="shared" si="8"/>
        <v>0</v>
      </c>
      <c r="W16" s="167">
        <f t="shared" si="9"/>
        <v>0</v>
      </c>
      <c r="X16" s="167">
        <f t="shared" si="10"/>
        <v>0</v>
      </c>
      <c r="Y16" s="167">
        <f t="shared" si="11"/>
        <v>0</v>
      </c>
      <c r="Z16" s="167">
        <f t="shared" si="12"/>
        <v>0</v>
      </c>
      <c r="AA16" s="167">
        <f t="shared" si="13"/>
        <v>0</v>
      </c>
    </row>
    <row r="17" spans="1:27" x14ac:dyDescent="0.45">
      <c r="B17" t="s">
        <v>279</v>
      </c>
      <c r="C17" s="65" t="s">
        <v>43</v>
      </c>
      <c r="D17" s="61">
        <v>44927</v>
      </c>
      <c r="E17" s="62">
        <v>4300</v>
      </c>
      <c r="F17" s="63">
        <v>0.17</v>
      </c>
      <c r="G17" s="60">
        <f t="shared" si="3"/>
        <v>0</v>
      </c>
      <c r="H17" s="60">
        <f t="shared" si="1"/>
        <v>0</v>
      </c>
      <c r="I17" s="60">
        <f t="shared" si="1"/>
        <v>50138</v>
      </c>
      <c r="J17" s="60">
        <f t="shared" si="1"/>
        <v>56244.000000000007</v>
      </c>
      <c r="K17" s="60">
        <f t="shared" si="1"/>
        <v>57792.000000000007</v>
      </c>
      <c r="L17" s="60">
        <f t="shared" si="1"/>
        <v>59339.999999999993</v>
      </c>
      <c r="M17" s="60">
        <f t="shared" si="1"/>
        <v>60371.999999999993</v>
      </c>
      <c r="N17" s="60">
        <f t="shared" si="1"/>
        <v>61404</v>
      </c>
      <c r="O17" s="60">
        <f t="shared" si="1"/>
        <v>61920</v>
      </c>
      <c r="P17" s="60">
        <f t="shared" si="1"/>
        <v>62436</v>
      </c>
      <c r="R17" s="167">
        <f t="shared" si="4"/>
        <v>0</v>
      </c>
      <c r="S17" s="167">
        <f t="shared" si="5"/>
        <v>0</v>
      </c>
      <c r="T17" s="167">
        <f t="shared" si="6"/>
        <v>0</v>
      </c>
      <c r="U17" s="167">
        <f t="shared" si="7"/>
        <v>0</v>
      </c>
      <c r="V17" s="167">
        <f t="shared" si="8"/>
        <v>0</v>
      </c>
      <c r="W17" s="167">
        <f t="shared" si="9"/>
        <v>0</v>
      </c>
      <c r="X17" s="167">
        <f t="shared" si="10"/>
        <v>0</v>
      </c>
      <c r="Y17" s="167">
        <f t="shared" si="11"/>
        <v>0</v>
      </c>
      <c r="Z17" s="167">
        <f t="shared" si="12"/>
        <v>0</v>
      </c>
      <c r="AA17" s="167">
        <f t="shared" si="13"/>
        <v>0</v>
      </c>
    </row>
    <row r="18" spans="1:27" x14ac:dyDescent="0.45">
      <c r="B18" t="s">
        <v>279</v>
      </c>
      <c r="C18" s="65" t="s">
        <v>4</v>
      </c>
      <c r="D18" s="61">
        <v>44927</v>
      </c>
      <c r="E18" s="62">
        <v>3700</v>
      </c>
      <c r="F18" s="63">
        <v>0.17</v>
      </c>
      <c r="G18" s="60">
        <f t="shared" si="3"/>
        <v>0</v>
      </c>
      <c r="H18" s="60">
        <f t="shared" si="1"/>
        <v>0</v>
      </c>
      <c r="I18" s="60">
        <f t="shared" si="1"/>
        <v>43142</v>
      </c>
      <c r="J18" s="60">
        <f t="shared" si="1"/>
        <v>48396</v>
      </c>
      <c r="K18" s="60">
        <f t="shared" si="1"/>
        <v>49728.000000000007</v>
      </c>
      <c r="L18" s="60">
        <f t="shared" si="1"/>
        <v>51059.999999999993</v>
      </c>
      <c r="M18" s="60">
        <f t="shared" si="1"/>
        <v>51948</v>
      </c>
      <c r="N18" s="60">
        <f t="shared" si="1"/>
        <v>52836</v>
      </c>
      <c r="O18" s="60">
        <f t="shared" si="1"/>
        <v>53280</v>
      </c>
      <c r="P18" s="60">
        <f t="shared" si="1"/>
        <v>53724</v>
      </c>
      <c r="R18" s="167">
        <f t="shared" si="4"/>
        <v>0</v>
      </c>
      <c r="S18" s="167">
        <f t="shared" si="5"/>
        <v>0</v>
      </c>
      <c r="T18" s="167">
        <f t="shared" si="6"/>
        <v>0</v>
      </c>
      <c r="U18" s="167">
        <f t="shared" si="7"/>
        <v>0</v>
      </c>
      <c r="V18" s="167">
        <f t="shared" si="8"/>
        <v>0</v>
      </c>
      <c r="W18" s="167">
        <f t="shared" si="9"/>
        <v>0</v>
      </c>
      <c r="X18" s="167">
        <f t="shared" si="10"/>
        <v>0</v>
      </c>
      <c r="Y18" s="167">
        <f t="shared" si="11"/>
        <v>0</v>
      </c>
      <c r="Z18" s="167">
        <f t="shared" si="12"/>
        <v>0</v>
      </c>
      <c r="AA18" s="167">
        <f t="shared" si="13"/>
        <v>0</v>
      </c>
    </row>
    <row r="19" spans="1:27" x14ac:dyDescent="0.45">
      <c r="B19" t="s">
        <v>279</v>
      </c>
      <c r="C19" s="65" t="s">
        <v>6</v>
      </c>
      <c r="D19" s="61">
        <v>44927</v>
      </c>
      <c r="E19" s="62">
        <v>3700</v>
      </c>
      <c r="F19" s="63">
        <v>0.17</v>
      </c>
      <c r="G19" s="60">
        <f t="shared" si="3"/>
        <v>0</v>
      </c>
      <c r="H19" s="60">
        <f t="shared" si="1"/>
        <v>0</v>
      </c>
      <c r="I19" s="60">
        <f t="shared" si="1"/>
        <v>43142</v>
      </c>
      <c r="J19" s="60">
        <f t="shared" si="1"/>
        <v>48396</v>
      </c>
      <c r="K19" s="60">
        <f t="shared" si="1"/>
        <v>49728.000000000007</v>
      </c>
      <c r="L19" s="60">
        <f t="shared" si="1"/>
        <v>51059.999999999993</v>
      </c>
      <c r="M19" s="60">
        <f t="shared" si="1"/>
        <v>51948</v>
      </c>
      <c r="N19" s="60">
        <f t="shared" si="1"/>
        <v>52836</v>
      </c>
      <c r="O19" s="60">
        <f t="shared" si="1"/>
        <v>53280</v>
      </c>
      <c r="P19" s="60">
        <f t="shared" si="1"/>
        <v>53724</v>
      </c>
      <c r="R19" s="167">
        <f t="shared" si="4"/>
        <v>0</v>
      </c>
      <c r="S19" s="167">
        <f t="shared" si="5"/>
        <v>0</v>
      </c>
      <c r="T19" s="167">
        <f t="shared" si="6"/>
        <v>0</v>
      </c>
      <c r="U19" s="167">
        <f t="shared" si="7"/>
        <v>0</v>
      </c>
      <c r="V19" s="167">
        <f t="shared" si="8"/>
        <v>0</v>
      </c>
      <c r="W19" s="167">
        <f t="shared" si="9"/>
        <v>0</v>
      </c>
      <c r="X19" s="167">
        <f t="shared" si="10"/>
        <v>0</v>
      </c>
      <c r="Y19" s="167">
        <f t="shared" si="11"/>
        <v>0</v>
      </c>
      <c r="Z19" s="167">
        <f t="shared" si="12"/>
        <v>0</v>
      </c>
      <c r="AA19" s="167">
        <f t="shared" si="13"/>
        <v>0</v>
      </c>
    </row>
    <row r="20" spans="1:27" x14ac:dyDescent="0.45">
      <c r="B20" t="s">
        <v>145</v>
      </c>
      <c r="C20" s="65" t="s">
        <v>5</v>
      </c>
      <c r="D20" s="61">
        <v>44927</v>
      </c>
      <c r="E20" s="62">
        <v>3700</v>
      </c>
      <c r="F20" s="63">
        <v>0.17</v>
      </c>
      <c r="G20" s="60">
        <f t="shared" si="3"/>
        <v>0</v>
      </c>
      <c r="H20" s="60">
        <f t="shared" si="1"/>
        <v>0</v>
      </c>
      <c r="I20" s="60">
        <f t="shared" si="1"/>
        <v>43142</v>
      </c>
      <c r="J20" s="60">
        <f t="shared" si="1"/>
        <v>48396</v>
      </c>
      <c r="K20" s="60">
        <f t="shared" si="1"/>
        <v>49728.000000000007</v>
      </c>
      <c r="L20" s="60">
        <f t="shared" si="1"/>
        <v>51059.999999999993</v>
      </c>
      <c r="M20" s="60">
        <f t="shared" si="1"/>
        <v>51948</v>
      </c>
      <c r="N20" s="60">
        <f t="shared" si="1"/>
        <v>52836</v>
      </c>
      <c r="O20" s="60">
        <f t="shared" si="1"/>
        <v>53280</v>
      </c>
      <c r="P20" s="60">
        <f t="shared" si="1"/>
        <v>53724</v>
      </c>
      <c r="R20" s="167">
        <f t="shared" si="4"/>
        <v>0</v>
      </c>
      <c r="S20" s="167">
        <f t="shared" si="5"/>
        <v>0</v>
      </c>
      <c r="T20" s="167">
        <f t="shared" si="6"/>
        <v>0</v>
      </c>
      <c r="U20" s="167">
        <f t="shared" si="7"/>
        <v>0</v>
      </c>
      <c r="V20" s="167">
        <f t="shared" si="8"/>
        <v>0</v>
      </c>
      <c r="W20" s="167">
        <f t="shared" si="9"/>
        <v>0</v>
      </c>
      <c r="X20" s="167">
        <f t="shared" si="10"/>
        <v>0</v>
      </c>
      <c r="Y20" s="167">
        <f t="shared" si="11"/>
        <v>0</v>
      </c>
      <c r="Z20" s="167">
        <f t="shared" si="12"/>
        <v>0</v>
      </c>
      <c r="AA20" s="167">
        <f t="shared" si="13"/>
        <v>0</v>
      </c>
    </row>
    <row r="21" spans="1:27" x14ac:dyDescent="0.45">
      <c r="B21" t="s">
        <v>145</v>
      </c>
      <c r="C21" s="65" t="s">
        <v>47</v>
      </c>
      <c r="D21" s="61">
        <v>45017</v>
      </c>
      <c r="E21" s="62">
        <v>3900</v>
      </c>
      <c r="F21" s="63">
        <v>0.4</v>
      </c>
      <c r="G21" s="60">
        <f t="shared" si="3"/>
        <v>0</v>
      </c>
      <c r="H21" s="60">
        <f t="shared" si="3"/>
        <v>0</v>
      </c>
      <c r="I21" s="60">
        <f t="shared" si="3"/>
        <v>33072</v>
      </c>
      <c r="J21" s="60">
        <f t="shared" si="3"/>
        <v>51012.000000000007</v>
      </c>
      <c r="K21" s="60">
        <f t="shared" si="3"/>
        <v>52416.000000000007</v>
      </c>
      <c r="L21" s="60">
        <f t="shared" si="3"/>
        <v>53819.999999999993</v>
      </c>
      <c r="M21" s="60">
        <f t="shared" si="3"/>
        <v>54756</v>
      </c>
      <c r="N21" s="60">
        <f t="shared" si="3"/>
        <v>55692</v>
      </c>
      <c r="O21" s="60">
        <f t="shared" si="3"/>
        <v>56160</v>
      </c>
      <c r="P21" s="60">
        <f t="shared" si="3"/>
        <v>56628</v>
      </c>
      <c r="R21" s="167">
        <f t="shared" si="4"/>
        <v>0</v>
      </c>
      <c r="S21" s="167">
        <f t="shared" si="5"/>
        <v>0</v>
      </c>
      <c r="T21" s="167">
        <f t="shared" si="6"/>
        <v>33072</v>
      </c>
      <c r="U21" s="167">
        <f t="shared" si="7"/>
        <v>51012.000000000007</v>
      </c>
      <c r="V21" s="167">
        <f t="shared" si="8"/>
        <v>52416.000000000007</v>
      </c>
      <c r="W21" s="167">
        <f t="shared" si="9"/>
        <v>53819.999999999993</v>
      </c>
      <c r="X21" s="167">
        <f t="shared" si="10"/>
        <v>54756</v>
      </c>
      <c r="Y21" s="167">
        <f t="shared" si="11"/>
        <v>55692</v>
      </c>
      <c r="Z21" s="167">
        <f t="shared" si="12"/>
        <v>56160</v>
      </c>
      <c r="AA21" s="167">
        <f t="shared" si="13"/>
        <v>56628</v>
      </c>
    </row>
    <row r="22" spans="1:27" x14ac:dyDescent="0.45">
      <c r="A22" s="75">
        <v>2</v>
      </c>
      <c r="B22" t="s">
        <v>140</v>
      </c>
      <c r="C22" s="65" t="s">
        <v>292</v>
      </c>
      <c r="D22" s="61">
        <v>45047</v>
      </c>
      <c r="E22" s="62">
        <f>3500*A22</f>
        <v>7000</v>
      </c>
      <c r="F22" s="63">
        <v>0.4</v>
      </c>
      <c r="G22" s="60">
        <f t="shared" si="3"/>
        <v>0</v>
      </c>
      <c r="H22" s="60">
        <f t="shared" si="3"/>
        <v>0</v>
      </c>
      <c r="I22" s="60">
        <f t="shared" si="3"/>
        <v>51940</v>
      </c>
      <c r="J22" s="60">
        <f t="shared" si="3"/>
        <v>91560</v>
      </c>
      <c r="K22" s="60">
        <f t="shared" si="3"/>
        <v>94080.000000000015</v>
      </c>
      <c r="L22" s="60">
        <f t="shared" si="3"/>
        <v>96599.999999999985</v>
      </c>
      <c r="M22" s="60">
        <f t="shared" si="3"/>
        <v>98280</v>
      </c>
      <c r="N22" s="60">
        <f t="shared" si="3"/>
        <v>99960</v>
      </c>
      <c r="O22" s="60">
        <f t="shared" si="3"/>
        <v>100800</v>
      </c>
      <c r="P22" s="60">
        <f t="shared" si="3"/>
        <v>101640</v>
      </c>
      <c r="R22" s="167">
        <f t="shared" si="4"/>
        <v>0</v>
      </c>
      <c r="S22" s="167">
        <f t="shared" si="5"/>
        <v>0</v>
      </c>
      <c r="T22" s="167">
        <f t="shared" si="6"/>
        <v>51940</v>
      </c>
      <c r="U22" s="167">
        <f t="shared" si="7"/>
        <v>91560</v>
      </c>
      <c r="V22" s="167">
        <f t="shared" si="8"/>
        <v>94080.000000000015</v>
      </c>
      <c r="W22" s="167">
        <f t="shared" si="9"/>
        <v>96599.999999999985</v>
      </c>
      <c r="X22" s="167">
        <f t="shared" si="10"/>
        <v>98280</v>
      </c>
      <c r="Y22" s="167">
        <f t="shared" si="11"/>
        <v>99960</v>
      </c>
      <c r="Z22" s="167">
        <f t="shared" si="12"/>
        <v>100800</v>
      </c>
      <c r="AA22" s="167">
        <f t="shared" si="13"/>
        <v>101640</v>
      </c>
    </row>
    <row r="23" spans="1:27" x14ac:dyDescent="0.45">
      <c r="B23" t="s">
        <v>278</v>
      </c>
      <c r="C23" s="65" t="s">
        <v>41</v>
      </c>
      <c r="D23" s="61">
        <v>45078</v>
      </c>
      <c r="E23" s="62">
        <v>2900</v>
      </c>
      <c r="F23" s="63">
        <v>0.4</v>
      </c>
      <c r="G23" s="60">
        <f t="shared" si="3"/>
        <v>0</v>
      </c>
      <c r="H23" s="60">
        <f t="shared" si="3"/>
        <v>0</v>
      </c>
      <c r="I23" s="60">
        <f t="shared" si="3"/>
        <v>18444</v>
      </c>
      <c r="J23" s="60">
        <f t="shared" si="3"/>
        <v>37932</v>
      </c>
      <c r="K23" s="60">
        <f t="shared" si="3"/>
        <v>38976.000000000007</v>
      </c>
      <c r="L23" s="60">
        <f t="shared" si="3"/>
        <v>40020</v>
      </c>
      <c r="M23" s="60">
        <f t="shared" si="3"/>
        <v>40716</v>
      </c>
      <c r="N23" s="60">
        <f t="shared" si="3"/>
        <v>41412</v>
      </c>
      <c r="O23" s="60">
        <f t="shared" si="3"/>
        <v>41760</v>
      </c>
      <c r="P23" s="60">
        <f t="shared" si="3"/>
        <v>42108</v>
      </c>
      <c r="R23" s="167">
        <f t="shared" si="4"/>
        <v>0</v>
      </c>
      <c r="S23" s="167">
        <f t="shared" si="5"/>
        <v>0</v>
      </c>
      <c r="T23" s="167">
        <f t="shared" si="6"/>
        <v>18444</v>
      </c>
      <c r="U23" s="167">
        <f t="shared" si="7"/>
        <v>37932</v>
      </c>
      <c r="V23" s="167">
        <f t="shared" si="8"/>
        <v>38976.000000000007</v>
      </c>
      <c r="W23" s="167">
        <f t="shared" si="9"/>
        <v>40020</v>
      </c>
      <c r="X23" s="167">
        <f t="shared" si="10"/>
        <v>40716</v>
      </c>
      <c r="Y23" s="167">
        <f t="shared" si="11"/>
        <v>41412</v>
      </c>
      <c r="Z23" s="167">
        <f t="shared" si="12"/>
        <v>41760</v>
      </c>
      <c r="AA23" s="167">
        <f t="shared" si="13"/>
        <v>42108</v>
      </c>
    </row>
    <row r="24" spans="1:27" x14ac:dyDescent="0.45">
      <c r="A24" s="75">
        <v>5</v>
      </c>
      <c r="B24" t="s">
        <v>140</v>
      </c>
      <c r="C24" s="65" t="s">
        <v>293</v>
      </c>
      <c r="D24" s="61">
        <v>45292</v>
      </c>
      <c r="E24" s="62">
        <f>A24*3500</f>
        <v>17500</v>
      </c>
      <c r="F24" s="63">
        <v>0.4</v>
      </c>
      <c r="G24" s="60">
        <f t="shared" si="3"/>
        <v>0</v>
      </c>
      <c r="H24" s="60">
        <f t="shared" si="3"/>
        <v>0</v>
      </c>
      <c r="I24" s="60">
        <f t="shared" si="3"/>
        <v>0</v>
      </c>
      <c r="J24" s="60">
        <f t="shared" si="3"/>
        <v>209825.00000000003</v>
      </c>
      <c r="K24" s="60">
        <f t="shared" si="3"/>
        <v>235200.00000000003</v>
      </c>
      <c r="L24" s="60">
        <f t="shared" si="3"/>
        <v>241499.99999999997</v>
      </c>
      <c r="M24" s="60">
        <f t="shared" si="3"/>
        <v>245699.99999999997</v>
      </c>
      <c r="N24" s="60">
        <f t="shared" si="3"/>
        <v>249900</v>
      </c>
      <c r="O24" s="60">
        <f t="shared" si="3"/>
        <v>252000</v>
      </c>
      <c r="P24" s="60">
        <f t="shared" si="3"/>
        <v>254100</v>
      </c>
      <c r="R24" s="167">
        <f t="shared" si="4"/>
        <v>0</v>
      </c>
      <c r="S24" s="167">
        <f t="shared" si="5"/>
        <v>0</v>
      </c>
      <c r="T24" s="167">
        <f t="shared" si="6"/>
        <v>0</v>
      </c>
      <c r="U24" s="167">
        <f t="shared" si="7"/>
        <v>209825.00000000003</v>
      </c>
      <c r="V24" s="167">
        <f t="shared" si="8"/>
        <v>235200.00000000003</v>
      </c>
      <c r="W24" s="167">
        <f t="shared" si="9"/>
        <v>241499.99999999997</v>
      </c>
      <c r="X24" s="167">
        <f t="shared" si="10"/>
        <v>245699.99999999997</v>
      </c>
      <c r="Y24" s="167">
        <f t="shared" si="11"/>
        <v>249900</v>
      </c>
      <c r="Z24" s="167">
        <f t="shared" si="12"/>
        <v>252000</v>
      </c>
      <c r="AA24" s="167">
        <f t="shared" si="13"/>
        <v>254100</v>
      </c>
    </row>
    <row r="25" spans="1:27" x14ac:dyDescent="0.45">
      <c r="B25" t="s">
        <v>279</v>
      </c>
      <c r="C25" s="65" t="s">
        <v>44</v>
      </c>
      <c r="D25" s="61">
        <v>45352</v>
      </c>
      <c r="E25" s="62">
        <v>4300</v>
      </c>
      <c r="F25" s="63">
        <v>0.17</v>
      </c>
      <c r="G25" s="60">
        <f t="shared" si="3"/>
        <v>0</v>
      </c>
      <c r="H25" s="60">
        <f t="shared" si="3"/>
        <v>0</v>
      </c>
      <c r="I25" s="60">
        <f t="shared" si="3"/>
        <v>0</v>
      </c>
      <c r="J25" s="60">
        <f t="shared" si="3"/>
        <v>42183</v>
      </c>
      <c r="K25" s="60">
        <f t="shared" si="3"/>
        <v>57792.000000000007</v>
      </c>
      <c r="L25" s="60">
        <f t="shared" si="3"/>
        <v>59339.999999999993</v>
      </c>
      <c r="M25" s="60">
        <f t="shared" si="3"/>
        <v>60371.999999999993</v>
      </c>
      <c r="N25" s="60">
        <f t="shared" si="3"/>
        <v>61404</v>
      </c>
      <c r="O25" s="60">
        <f t="shared" si="3"/>
        <v>61920</v>
      </c>
      <c r="P25" s="60">
        <f t="shared" si="3"/>
        <v>62436</v>
      </c>
      <c r="R25" s="167">
        <f t="shared" si="4"/>
        <v>0</v>
      </c>
      <c r="S25" s="167">
        <f t="shared" si="5"/>
        <v>0</v>
      </c>
      <c r="T25" s="167">
        <f t="shared" si="6"/>
        <v>0</v>
      </c>
      <c r="U25" s="167">
        <f t="shared" si="7"/>
        <v>0</v>
      </c>
      <c r="V25" s="167">
        <f t="shared" si="8"/>
        <v>0</v>
      </c>
      <c r="W25" s="167">
        <f t="shared" si="9"/>
        <v>0</v>
      </c>
      <c r="X25" s="167">
        <f t="shared" si="10"/>
        <v>0</v>
      </c>
      <c r="Y25" s="167">
        <f t="shared" si="11"/>
        <v>0</v>
      </c>
      <c r="Z25" s="167">
        <f t="shared" si="12"/>
        <v>0</v>
      </c>
      <c r="AA25" s="167">
        <f t="shared" si="13"/>
        <v>0</v>
      </c>
    </row>
    <row r="26" spans="1:27" x14ac:dyDescent="0.45">
      <c r="A26" s="75">
        <v>5</v>
      </c>
      <c r="B26" t="s">
        <v>140</v>
      </c>
      <c r="C26" s="65" t="s">
        <v>294</v>
      </c>
      <c r="D26" s="61">
        <v>45658</v>
      </c>
      <c r="E26" s="62">
        <f>A26*3500</f>
        <v>17500</v>
      </c>
      <c r="F26" s="63">
        <v>0.4</v>
      </c>
      <c r="G26" s="60">
        <f>IFERROR(IF(DATEDIF($D26,G$1,"M")&gt;12,12,DATEDIF($D26,G$1,"M")),0)*$E26*G$2</f>
        <v>0</v>
      </c>
      <c r="H26" s="60">
        <f t="shared" ref="H26:P38" si="14">IFERROR(IF(DATEDIF($D26,H$1,"M")&gt;12,12,DATEDIF($D26,H$1,"M")),0)*$E26*H$2</f>
        <v>0</v>
      </c>
      <c r="I26" s="60">
        <f t="shared" si="14"/>
        <v>0</v>
      </c>
      <c r="J26" s="60">
        <f t="shared" si="14"/>
        <v>0</v>
      </c>
      <c r="K26" s="60">
        <f t="shared" si="14"/>
        <v>215600.00000000003</v>
      </c>
      <c r="L26" s="60">
        <f t="shared" si="14"/>
        <v>241499.99999999997</v>
      </c>
      <c r="M26" s="60">
        <f t="shared" si="14"/>
        <v>245699.99999999997</v>
      </c>
      <c r="N26" s="60">
        <f t="shared" si="14"/>
        <v>249900</v>
      </c>
      <c r="O26" s="60">
        <f t="shared" si="14"/>
        <v>252000</v>
      </c>
      <c r="P26" s="60">
        <f t="shared" si="14"/>
        <v>254100</v>
      </c>
      <c r="R26" s="167">
        <f t="shared" si="4"/>
        <v>0</v>
      </c>
      <c r="S26" s="167">
        <f t="shared" si="5"/>
        <v>0</v>
      </c>
      <c r="T26" s="167">
        <f t="shared" si="6"/>
        <v>0</v>
      </c>
      <c r="U26" s="167">
        <f t="shared" si="7"/>
        <v>0</v>
      </c>
      <c r="V26" s="167">
        <f t="shared" si="8"/>
        <v>215600.00000000003</v>
      </c>
      <c r="W26" s="167">
        <f t="shared" si="9"/>
        <v>241499.99999999997</v>
      </c>
      <c r="X26" s="167">
        <f t="shared" si="10"/>
        <v>245699.99999999997</v>
      </c>
      <c r="Y26" s="167">
        <f t="shared" si="11"/>
        <v>249900</v>
      </c>
      <c r="Z26" s="167">
        <f t="shared" si="12"/>
        <v>252000</v>
      </c>
      <c r="AA26" s="167">
        <f t="shared" si="13"/>
        <v>254100</v>
      </c>
    </row>
    <row r="27" spans="1:27" x14ac:dyDescent="0.45">
      <c r="B27" t="s">
        <v>145</v>
      </c>
      <c r="C27" s="65" t="s">
        <v>1</v>
      </c>
      <c r="D27" s="61">
        <v>45717</v>
      </c>
      <c r="E27" s="62">
        <v>3900</v>
      </c>
      <c r="F27" s="63">
        <v>0.4</v>
      </c>
      <c r="G27" s="60">
        <f t="shared" si="3"/>
        <v>0</v>
      </c>
      <c r="H27" s="60">
        <f t="shared" si="14"/>
        <v>0</v>
      </c>
      <c r="I27" s="60">
        <f t="shared" si="14"/>
        <v>0</v>
      </c>
      <c r="J27" s="60">
        <f t="shared" si="14"/>
        <v>0</v>
      </c>
      <c r="K27" s="60">
        <f t="shared" si="14"/>
        <v>39312.000000000007</v>
      </c>
      <c r="L27" s="60">
        <f t="shared" si="14"/>
        <v>53819.999999999993</v>
      </c>
      <c r="M27" s="60">
        <f t="shared" si="14"/>
        <v>54756</v>
      </c>
      <c r="N27" s="60">
        <f t="shared" si="14"/>
        <v>55692</v>
      </c>
      <c r="O27" s="60">
        <f t="shared" si="14"/>
        <v>56160</v>
      </c>
      <c r="P27" s="60">
        <f t="shared" si="14"/>
        <v>56628</v>
      </c>
      <c r="R27" s="167">
        <f t="shared" si="4"/>
        <v>0</v>
      </c>
      <c r="S27" s="167">
        <f t="shared" si="5"/>
        <v>0</v>
      </c>
      <c r="T27" s="167">
        <f t="shared" si="6"/>
        <v>0</v>
      </c>
      <c r="U27" s="167">
        <f t="shared" si="7"/>
        <v>0</v>
      </c>
      <c r="V27" s="167">
        <f t="shared" si="8"/>
        <v>39312.000000000007</v>
      </c>
      <c r="W27" s="167">
        <f t="shared" si="9"/>
        <v>53819.999999999993</v>
      </c>
      <c r="X27" s="167">
        <f t="shared" si="10"/>
        <v>54756</v>
      </c>
      <c r="Y27" s="167">
        <f t="shared" si="11"/>
        <v>55692</v>
      </c>
      <c r="Z27" s="167">
        <f t="shared" si="12"/>
        <v>56160</v>
      </c>
      <c r="AA27" s="167">
        <f t="shared" si="13"/>
        <v>56628</v>
      </c>
    </row>
    <row r="28" spans="1:27" x14ac:dyDescent="0.45">
      <c r="B28" t="s">
        <v>279</v>
      </c>
      <c r="C28" s="65" t="s">
        <v>46</v>
      </c>
      <c r="D28" s="61">
        <v>45717</v>
      </c>
      <c r="E28" s="62">
        <v>4300</v>
      </c>
      <c r="F28" s="63">
        <v>0.17</v>
      </c>
      <c r="G28" s="60">
        <f t="shared" ref="G28:P38" si="15">IFERROR(IF(DATEDIF($D28,G$1,"M")&gt;12,12,DATEDIF($D28,G$1,"M")),0)*$E28*G$2</f>
        <v>0</v>
      </c>
      <c r="H28" s="60">
        <f t="shared" si="14"/>
        <v>0</v>
      </c>
      <c r="I28" s="60">
        <f t="shared" si="14"/>
        <v>0</v>
      </c>
      <c r="J28" s="60">
        <f t="shared" si="14"/>
        <v>0</v>
      </c>
      <c r="K28" s="60">
        <f t="shared" si="14"/>
        <v>43344.000000000007</v>
      </c>
      <c r="L28" s="60">
        <f t="shared" si="14"/>
        <v>59339.999999999993</v>
      </c>
      <c r="M28" s="60">
        <f t="shared" si="14"/>
        <v>60371.999999999993</v>
      </c>
      <c r="N28" s="60">
        <f t="shared" si="14"/>
        <v>61404</v>
      </c>
      <c r="O28" s="60">
        <f t="shared" si="14"/>
        <v>61920</v>
      </c>
      <c r="P28" s="60">
        <f t="shared" si="14"/>
        <v>62436</v>
      </c>
      <c r="R28" s="167">
        <f t="shared" si="4"/>
        <v>0</v>
      </c>
      <c r="S28" s="167">
        <f t="shared" si="5"/>
        <v>0</v>
      </c>
      <c r="T28" s="167">
        <f t="shared" si="6"/>
        <v>0</v>
      </c>
      <c r="U28" s="167">
        <f t="shared" si="7"/>
        <v>0</v>
      </c>
      <c r="V28" s="167">
        <f t="shared" si="8"/>
        <v>0</v>
      </c>
      <c r="W28" s="167">
        <f t="shared" si="9"/>
        <v>0</v>
      </c>
      <c r="X28" s="167">
        <f t="shared" si="10"/>
        <v>0</v>
      </c>
      <c r="Y28" s="167">
        <f t="shared" si="11"/>
        <v>0</v>
      </c>
      <c r="Z28" s="167">
        <f t="shared" si="12"/>
        <v>0</v>
      </c>
      <c r="AA28" s="167">
        <f t="shared" si="13"/>
        <v>0</v>
      </c>
    </row>
    <row r="29" spans="1:27" x14ac:dyDescent="0.45">
      <c r="B29" t="s">
        <v>145</v>
      </c>
      <c r="C29" s="65" t="s">
        <v>48</v>
      </c>
      <c r="D29" s="61">
        <v>45717</v>
      </c>
      <c r="E29" s="62">
        <v>3900</v>
      </c>
      <c r="F29" s="63">
        <v>0.4</v>
      </c>
      <c r="G29" s="60">
        <f t="shared" si="15"/>
        <v>0</v>
      </c>
      <c r="H29" s="60">
        <f t="shared" si="14"/>
        <v>0</v>
      </c>
      <c r="I29" s="60">
        <f t="shared" si="14"/>
        <v>0</v>
      </c>
      <c r="J29" s="60">
        <f t="shared" si="14"/>
        <v>0</v>
      </c>
      <c r="K29" s="60">
        <f t="shared" si="14"/>
        <v>39312.000000000007</v>
      </c>
      <c r="L29" s="60">
        <f t="shared" si="14"/>
        <v>53819.999999999993</v>
      </c>
      <c r="M29" s="60">
        <f t="shared" si="14"/>
        <v>54756</v>
      </c>
      <c r="N29" s="60">
        <f t="shared" si="14"/>
        <v>55692</v>
      </c>
      <c r="O29" s="60">
        <f t="shared" si="14"/>
        <v>56160</v>
      </c>
      <c r="P29" s="60">
        <f t="shared" si="14"/>
        <v>56628</v>
      </c>
      <c r="R29" s="167">
        <f t="shared" si="4"/>
        <v>0</v>
      </c>
      <c r="S29" s="167">
        <f t="shared" si="5"/>
        <v>0</v>
      </c>
      <c r="T29" s="167">
        <f t="shared" si="6"/>
        <v>0</v>
      </c>
      <c r="U29" s="167">
        <f t="shared" si="7"/>
        <v>0</v>
      </c>
      <c r="V29" s="167">
        <f t="shared" si="8"/>
        <v>39312.000000000007</v>
      </c>
      <c r="W29" s="167">
        <f t="shared" si="9"/>
        <v>53819.999999999993</v>
      </c>
      <c r="X29" s="167">
        <f t="shared" si="10"/>
        <v>54756</v>
      </c>
      <c r="Y29" s="167">
        <f t="shared" si="11"/>
        <v>55692</v>
      </c>
      <c r="Z29" s="167">
        <f t="shared" si="12"/>
        <v>56160</v>
      </c>
      <c r="AA29" s="167">
        <f t="shared" si="13"/>
        <v>56628</v>
      </c>
    </row>
    <row r="30" spans="1:27" x14ac:dyDescent="0.45">
      <c r="B30" t="s">
        <v>279</v>
      </c>
      <c r="C30" s="65" t="s">
        <v>7</v>
      </c>
      <c r="D30" s="61">
        <v>45717</v>
      </c>
      <c r="E30" s="62">
        <v>3700</v>
      </c>
      <c r="F30" s="63">
        <v>0.17</v>
      </c>
      <c r="G30" s="60">
        <f t="shared" si="15"/>
        <v>0</v>
      </c>
      <c r="H30" s="60">
        <f t="shared" si="14"/>
        <v>0</v>
      </c>
      <c r="I30" s="60">
        <f t="shared" si="14"/>
        <v>0</v>
      </c>
      <c r="J30" s="60">
        <f t="shared" si="14"/>
        <v>0</v>
      </c>
      <c r="K30" s="60">
        <f t="shared" si="14"/>
        <v>37296</v>
      </c>
      <c r="L30" s="60">
        <f t="shared" si="14"/>
        <v>51059.999999999993</v>
      </c>
      <c r="M30" s="60">
        <f t="shared" si="14"/>
        <v>51948</v>
      </c>
      <c r="N30" s="60">
        <f t="shared" si="14"/>
        <v>52836</v>
      </c>
      <c r="O30" s="60">
        <f t="shared" si="14"/>
        <v>53280</v>
      </c>
      <c r="P30" s="60">
        <f t="shared" si="14"/>
        <v>53724</v>
      </c>
      <c r="R30" s="167">
        <f t="shared" si="4"/>
        <v>0</v>
      </c>
      <c r="S30" s="167">
        <f t="shared" si="5"/>
        <v>0</v>
      </c>
      <c r="T30" s="167">
        <f t="shared" si="6"/>
        <v>0</v>
      </c>
      <c r="U30" s="167">
        <f t="shared" si="7"/>
        <v>0</v>
      </c>
      <c r="V30" s="167">
        <f t="shared" si="8"/>
        <v>0</v>
      </c>
      <c r="W30" s="167">
        <f t="shared" si="9"/>
        <v>0</v>
      </c>
      <c r="X30" s="167">
        <f t="shared" si="10"/>
        <v>0</v>
      </c>
      <c r="Y30" s="167">
        <f t="shared" si="11"/>
        <v>0</v>
      </c>
      <c r="Z30" s="167">
        <f t="shared" si="12"/>
        <v>0</v>
      </c>
      <c r="AA30" s="167">
        <f t="shared" si="13"/>
        <v>0</v>
      </c>
    </row>
    <row r="31" spans="1:27" x14ac:dyDescent="0.45">
      <c r="A31" s="75">
        <v>3</v>
      </c>
      <c r="C31" s="65" t="s">
        <v>295</v>
      </c>
      <c r="D31" s="61">
        <v>46023</v>
      </c>
      <c r="E31" s="62">
        <f>A31*3500</f>
        <v>10500</v>
      </c>
      <c r="F31" s="63">
        <v>0.4</v>
      </c>
      <c r="G31" s="60">
        <f t="shared" si="15"/>
        <v>0</v>
      </c>
      <c r="H31" s="60">
        <f t="shared" si="14"/>
        <v>0</v>
      </c>
      <c r="I31" s="60">
        <f t="shared" si="14"/>
        <v>0</v>
      </c>
      <c r="J31" s="60">
        <f t="shared" si="14"/>
        <v>0</v>
      </c>
      <c r="K31" s="60">
        <f t="shared" si="14"/>
        <v>0</v>
      </c>
      <c r="L31" s="60">
        <f t="shared" si="14"/>
        <v>132825</v>
      </c>
      <c r="M31" s="60">
        <f t="shared" si="14"/>
        <v>147420</v>
      </c>
      <c r="N31" s="60">
        <f t="shared" si="14"/>
        <v>149940</v>
      </c>
      <c r="O31" s="60">
        <f t="shared" si="14"/>
        <v>151200</v>
      </c>
      <c r="P31" s="60">
        <f t="shared" si="14"/>
        <v>152460</v>
      </c>
      <c r="R31" s="167">
        <f t="shared" si="4"/>
        <v>0</v>
      </c>
      <c r="S31" s="167">
        <f t="shared" si="5"/>
        <v>0</v>
      </c>
      <c r="T31" s="167">
        <f t="shared" si="6"/>
        <v>0</v>
      </c>
      <c r="U31" s="167">
        <f t="shared" si="7"/>
        <v>0</v>
      </c>
      <c r="V31" s="167">
        <f t="shared" si="8"/>
        <v>0</v>
      </c>
      <c r="W31" s="167">
        <f t="shared" si="9"/>
        <v>132825</v>
      </c>
      <c r="X31" s="167">
        <f t="shared" si="10"/>
        <v>147420</v>
      </c>
      <c r="Y31" s="167">
        <f t="shared" si="11"/>
        <v>149940</v>
      </c>
      <c r="Z31" s="167">
        <f t="shared" si="12"/>
        <v>151200</v>
      </c>
      <c r="AA31" s="167">
        <f t="shared" si="13"/>
        <v>152460</v>
      </c>
    </row>
    <row r="32" spans="1:27" x14ac:dyDescent="0.45">
      <c r="C32" s="65" t="s">
        <v>50</v>
      </c>
      <c r="D32" s="61">
        <v>46082</v>
      </c>
      <c r="E32" s="62">
        <v>4300</v>
      </c>
      <c r="F32" s="63">
        <v>0.17</v>
      </c>
      <c r="G32" s="60">
        <f t="shared" si="15"/>
        <v>0</v>
      </c>
      <c r="H32" s="60">
        <f t="shared" si="14"/>
        <v>0</v>
      </c>
      <c r="I32" s="60">
        <f t="shared" si="14"/>
        <v>0</v>
      </c>
      <c r="J32" s="60">
        <f t="shared" si="14"/>
        <v>0</v>
      </c>
      <c r="K32" s="60">
        <f t="shared" si="14"/>
        <v>0</v>
      </c>
      <c r="L32" s="60">
        <f t="shared" si="14"/>
        <v>44505</v>
      </c>
      <c r="M32" s="60">
        <f t="shared" si="14"/>
        <v>60371.999999999993</v>
      </c>
      <c r="N32" s="60">
        <f t="shared" si="14"/>
        <v>61404</v>
      </c>
      <c r="O32" s="60">
        <f t="shared" si="14"/>
        <v>61920</v>
      </c>
      <c r="P32" s="60">
        <f t="shared" si="14"/>
        <v>62436</v>
      </c>
      <c r="R32" s="167">
        <f t="shared" si="4"/>
        <v>0</v>
      </c>
      <c r="S32" s="167">
        <f t="shared" si="5"/>
        <v>0</v>
      </c>
      <c r="T32" s="167">
        <f t="shared" si="6"/>
        <v>0</v>
      </c>
      <c r="U32" s="167">
        <f t="shared" si="7"/>
        <v>0</v>
      </c>
      <c r="V32" s="167">
        <f t="shared" si="8"/>
        <v>0</v>
      </c>
      <c r="W32" s="167">
        <f t="shared" si="9"/>
        <v>0</v>
      </c>
      <c r="X32" s="167">
        <f t="shared" si="10"/>
        <v>0</v>
      </c>
      <c r="Y32" s="167">
        <f t="shared" si="11"/>
        <v>0</v>
      </c>
      <c r="Z32" s="167">
        <f t="shared" si="12"/>
        <v>0</v>
      </c>
      <c r="AA32" s="167">
        <f t="shared" si="13"/>
        <v>0</v>
      </c>
    </row>
    <row r="33" spans="1:27" x14ac:dyDescent="0.45">
      <c r="A33" s="75">
        <v>2</v>
      </c>
      <c r="C33" s="65" t="s">
        <v>296</v>
      </c>
      <c r="D33" s="61">
        <v>46388</v>
      </c>
      <c r="E33" s="62">
        <f>A33*3500</f>
        <v>7000</v>
      </c>
      <c r="F33" s="63">
        <v>0.4</v>
      </c>
      <c r="G33" s="60">
        <f t="shared" si="15"/>
        <v>0</v>
      </c>
      <c r="H33" s="60">
        <f t="shared" si="14"/>
        <v>0</v>
      </c>
      <c r="I33" s="60">
        <f t="shared" si="14"/>
        <v>0</v>
      </c>
      <c r="J33" s="60">
        <f t="shared" si="14"/>
        <v>0</v>
      </c>
      <c r="K33" s="60">
        <f t="shared" si="14"/>
        <v>0</v>
      </c>
      <c r="L33" s="60">
        <f t="shared" si="14"/>
        <v>0</v>
      </c>
      <c r="M33" s="60">
        <f t="shared" si="14"/>
        <v>90090</v>
      </c>
      <c r="N33" s="60">
        <f t="shared" si="14"/>
        <v>99960</v>
      </c>
      <c r="O33" s="60">
        <f t="shared" si="14"/>
        <v>100800</v>
      </c>
      <c r="P33" s="60">
        <f t="shared" si="14"/>
        <v>101640</v>
      </c>
      <c r="R33" s="167">
        <f t="shared" si="4"/>
        <v>0</v>
      </c>
      <c r="S33" s="167">
        <f t="shared" si="5"/>
        <v>0</v>
      </c>
      <c r="T33" s="167">
        <f t="shared" si="6"/>
        <v>0</v>
      </c>
      <c r="U33" s="167">
        <f t="shared" si="7"/>
        <v>0</v>
      </c>
      <c r="V33" s="167">
        <f t="shared" si="8"/>
        <v>0</v>
      </c>
      <c r="W33" s="167">
        <f t="shared" si="9"/>
        <v>0</v>
      </c>
      <c r="X33" s="167">
        <f t="shared" si="10"/>
        <v>90090</v>
      </c>
      <c r="Y33" s="167">
        <f t="shared" si="11"/>
        <v>99960</v>
      </c>
      <c r="Z33" s="167">
        <f t="shared" si="12"/>
        <v>100800</v>
      </c>
      <c r="AA33" s="167">
        <f t="shared" si="13"/>
        <v>101640</v>
      </c>
    </row>
    <row r="34" spans="1:27" x14ac:dyDescent="0.45">
      <c r="C34" s="65" t="s">
        <v>51</v>
      </c>
      <c r="D34" s="61">
        <v>46447</v>
      </c>
      <c r="E34" s="62">
        <v>4300</v>
      </c>
      <c r="F34" s="63">
        <v>0.17</v>
      </c>
      <c r="G34" s="60">
        <f t="shared" si="15"/>
        <v>0</v>
      </c>
      <c r="H34" s="60">
        <f t="shared" si="14"/>
        <v>0</v>
      </c>
      <c r="I34" s="60">
        <f t="shared" si="14"/>
        <v>0</v>
      </c>
      <c r="J34" s="60">
        <f t="shared" si="14"/>
        <v>0</v>
      </c>
      <c r="K34" s="60">
        <f t="shared" si="14"/>
        <v>0</v>
      </c>
      <c r="L34" s="60">
        <f t="shared" si="14"/>
        <v>0</v>
      </c>
      <c r="M34" s="60">
        <f t="shared" si="14"/>
        <v>45279</v>
      </c>
      <c r="N34" s="60">
        <f t="shared" si="14"/>
        <v>61404</v>
      </c>
      <c r="O34" s="60">
        <f t="shared" si="14"/>
        <v>61920</v>
      </c>
      <c r="P34" s="60">
        <f t="shared" si="14"/>
        <v>62436</v>
      </c>
      <c r="R34" s="167">
        <f t="shared" si="4"/>
        <v>0</v>
      </c>
      <c r="S34" s="167">
        <f t="shared" si="5"/>
        <v>0</v>
      </c>
      <c r="T34" s="167">
        <f t="shared" si="6"/>
        <v>0</v>
      </c>
      <c r="U34" s="167">
        <f t="shared" si="7"/>
        <v>0</v>
      </c>
      <c r="V34" s="167">
        <f t="shared" si="8"/>
        <v>0</v>
      </c>
      <c r="W34" s="167">
        <f t="shared" si="9"/>
        <v>0</v>
      </c>
      <c r="X34" s="167">
        <f t="shared" si="10"/>
        <v>0</v>
      </c>
      <c r="Y34" s="167">
        <f t="shared" si="11"/>
        <v>0</v>
      </c>
      <c r="Z34" s="167">
        <f t="shared" si="12"/>
        <v>0</v>
      </c>
      <c r="AA34" s="167">
        <f t="shared" si="13"/>
        <v>0</v>
      </c>
    </row>
    <row r="35" spans="1:27" x14ac:dyDescent="0.45">
      <c r="C35" s="65" t="s">
        <v>42</v>
      </c>
      <c r="D35" s="61">
        <v>46539</v>
      </c>
      <c r="E35" s="62">
        <v>2900</v>
      </c>
      <c r="F35" s="63">
        <v>0.4</v>
      </c>
      <c r="G35" s="60">
        <f t="shared" si="15"/>
        <v>0</v>
      </c>
      <c r="H35" s="60">
        <f t="shared" si="14"/>
        <v>0</v>
      </c>
      <c r="I35" s="60">
        <f t="shared" si="14"/>
        <v>0</v>
      </c>
      <c r="J35" s="60">
        <f t="shared" si="14"/>
        <v>0</v>
      </c>
      <c r="K35" s="60">
        <f t="shared" si="14"/>
        <v>0</v>
      </c>
      <c r="L35" s="60">
        <f t="shared" si="14"/>
        <v>0</v>
      </c>
      <c r="M35" s="60">
        <f t="shared" si="14"/>
        <v>20358</v>
      </c>
      <c r="N35" s="60">
        <f t="shared" si="14"/>
        <v>41412</v>
      </c>
      <c r="O35" s="60">
        <f t="shared" si="14"/>
        <v>41760</v>
      </c>
      <c r="P35" s="60">
        <f t="shared" si="14"/>
        <v>42108</v>
      </c>
      <c r="R35" s="167">
        <f t="shared" si="4"/>
        <v>0</v>
      </c>
      <c r="S35" s="167">
        <f t="shared" si="5"/>
        <v>0</v>
      </c>
      <c r="T35" s="167">
        <f t="shared" si="6"/>
        <v>0</v>
      </c>
      <c r="U35" s="167">
        <f t="shared" si="7"/>
        <v>0</v>
      </c>
      <c r="V35" s="167">
        <f t="shared" si="8"/>
        <v>0</v>
      </c>
      <c r="W35" s="167">
        <f t="shared" si="9"/>
        <v>0</v>
      </c>
      <c r="X35" s="167">
        <f t="shared" si="10"/>
        <v>20358</v>
      </c>
      <c r="Y35" s="167">
        <f t="shared" si="11"/>
        <v>41412</v>
      </c>
      <c r="Z35" s="167">
        <f t="shared" si="12"/>
        <v>41760</v>
      </c>
      <c r="AA35" s="167">
        <f t="shared" si="13"/>
        <v>42108</v>
      </c>
    </row>
    <row r="36" spans="1:27" x14ac:dyDescent="0.45">
      <c r="A36" s="75">
        <v>2</v>
      </c>
      <c r="C36" s="65" t="s">
        <v>297</v>
      </c>
      <c r="D36" s="61">
        <v>46753</v>
      </c>
      <c r="E36" s="62">
        <f>3500*A36</f>
        <v>7000</v>
      </c>
      <c r="F36" s="63">
        <v>0.4</v>
      </c>
      <c r="G36" s="60">
        <f t="shared" si="15"/>
        <v>0</v>
      </c>
      <c r="H36" s="60">
        <f t="shared" si="14"/>
        <v>0</v>
      </c>
      <c r="I36" s="60">
        <f t="shared" si="14"/>
        <v>0</v>
      </c>
      <c r="J36" s="60">
        <f t="shared" si="14"/>
        <v>0</v>
      </c>
      <c r="K36" s="60">
        <f t="shared" si="14"/>
        <v>0</v>
      </c>
      <c r="L36" s="60">
        <f t="shared" si="14"/>
        <v>0</v>
      </c>
      <c r="M36" s="60">
        <f t="shared" si="14"/>
        <v>0</v>
      </c>
      <c r="N36" s="60">
        <f t="shared" si="14"/>
        <v>91630</v>
      </c>
      <c r="O36" s="60">
        <f t="shared" si="14"/>
        <v>100800</v>
      </c>
      <c r="P36" s="60">
        <f t="shared" si="14"/>
        <v>101640</v>
      </c>
      <c r="R36" s="167">
        <f t="shared" si="4"/>
        <v>0</v>
      </c>
      <c r="S36" s="167">
        <f t="shared" si="5"/>
        <v>0</v>
      </c>
      <c r="T36" s="167">
        <f t="shared" si="6"/>
        <v>0</v>
      </c>
      <c r="U36" s="167">
        <f t="shared" si="7"/>
        <v>0</v>
      </c>
      <c r="V36" s="167">
        <f t="shared" si="8"/>
        <v>0</v>
      </c>
      <c r="W36" s="167">
        <f t="shared" si="9"/>
        <v>0</v>
      </c>
      <c r="X36" s="167">
        <f t="shared" si="10"/>
        <v>0</v>
      </c>
      <c r="Y36" s="167">
        <f t="shared" si="11"/>
        <v>91630</v>
      </c>
      <c r="Z36" s="167">
        <f t="shared" si="12"/>
        <v>100800</v>
      </c>
      <c r="AA36" s="167">
        <f t="shared" si="13"/>
        <v>101640</v>
      </c>
    </row>
    <row r="37" spans="1:27" x14ac:dyDescent="0.45">
      <c r="C37" s="65" t="s">
        <v>49</v>
      </c>
      <c r="D37" s="61">
        <v>46813</v>
      </c>
      <c r="E37" s="62">
        <v>3900</v>
      </c>
      <c r="F37" s="63">
        <v>0.4</v>
      </c>
      <c r="G37" s="60">
        <f t="shared" si="15"/>
        <v>0</v>
      </c>
      <c r="H37" s="60">
        <f t="shared" si="14"/>
        <v>0</v>
      </c>
      <c r="I37" s="60">
        <f t="shared" si="14"/>
        <v>0</v>
      </c>
      <c r="J37" s="60">
        <f t="shared" si="14"/>
        <v>0</v>
      </c>
      <c r="K37" s="60">
        <f t="shared" si="14"/>
        <v>0</v>
      </c>
      <c r="L37" s="60">
        <f t="shared" si="14"/>
        <v>0</v>
      </c>
      <c r="M37" s="60">
        <f t="shared" si="14"/>
        <v>0</v>
      </c>
      <c r="N37" s="60">
        <f t="shared" si="14"/>
        <v>41769</v>
      </c>
      <c r="O37" s="60">
        <f t="shared" si="14"/>
        <v>56160</v>
      </c>
      <c r="P37" s="60">
        <f t="shared" si="14"/>
        <v>56628</v>
      </c>
      <c r="R37" s="167">
        <f t="shared" si="4"/>
        <v>0</v>
      </c>
      <c r="S37" s="167">
        <f t="shared" si="5"/>
        <v>0</v>
      </c>
      <c r="T37" s="167">
        <f t="shared" si="6"/>
        <v>0</v>
      </c>
      <c r="U37" s="167">
        <f t="shared" si="7"/>
        <v>0</v>
      </c>
      <c r="V37" s="167">
        <f t="shared" si="8"/>
        <v>0</v>
      </c>
      <c r="W37" s="167">
        <f t="shared" si="9"/>
        <v>0</v>
      </c>
      <c r="X37" s="167">
        <f t="shared" si="10"/>
        <v>0</v>
      </c>
      <c r="Y37" s="167">
        <f t="shared" si="11"/>
        <v>41769</v>
      </c>
      <c r="Z37" s="167">
        <f t="shared" si="12"/>
        <v>56160</v>
      </c>
      <c r="AA37" s="167">
        <f t="shared" si="13"/>
        <v>56628</v>
      </c>
    </row>
    <row r="38" spans="1:27" x14ac:dyDescent="0.45">
      <c r="C38" s="336" t="s">
        <v>53</v>
      </c>
      <c r="D38" s="337">
        <v>47543</v>
      </c>
      <c r="E38" s="338">
        <v>3700</v>
      </c>
      <c r="F38" s="339">
        <v>0.17</v>
      </c>
      <c r="G38" s="60">
        <f t="shared" si="15"/>
        <v>0</v>
      </c>
      <c r="H38" s="60">
        <f t="shared" si="14"/>
        <v>0</v>
      </c>
      <c r="I38" s="60">
        <f t="shared" si="14"/>
        <v>0</v>
      </c>
      <c r="J38" s="60">
        <f t="shared" si="14"/>
        <v>0</v>
      </c>
      <c r="K38" s="60">
        <f t="shared" si="14"/>
        <v>0</v>
      </c>
      <c r="L38" s="60">
        <f t="shared" si="14"/>
        <v>0</v>
      </c>
      <c r="M38" s="60">
        <f t="shared" si="14"/>
        <v>0</v>
      </c>
      <c r="N38" s="60">
        <f t="shared" si="14"/>
        <v>0</v>
      </c>
      <c r="O38" s="60">
        <f t="shared" si="14"/>
        <v>0</v>
      </c>
      <c r="P38" s="60">
        <f t="shared" si="14"/>
        <v>40293</v>
      </c>
      <c r="R38" s="167">
        <f t="shared" si="4"/>
        <v>0</v>
      </c>
      <c r="S38" s="167">
        <f t="shared" si="5"/>
        <v>0</v>
      </c>
      <c r="T38" s="167">
        <f t="shared" si="6"/>
        <v>0</v>
      </c>
      <c r="U38" s="167">
        <f t="shared" si="7"/>
        <v>0</v>
      </c>
      <c r="V38" s="167">
        <f t="shared" si="8"/>
        <v>0</v>
      </c>
      <c r="W38" s="167">
        <f t="shared" si="9"/>
        <v>0</v>
      </c>
      <c r="X38" s="167">
        <f t="shared" si="10"/>
        <v>0</v>
      </c>
      <c r="Y38" s="167">
        <f t="shared" si="11"/>
        <v>0</v>
      </c>
      <c r="Z38" s="167">
        <f t="shared" si="12"/>
        <v>0</v>
      </c>
      <c r="AA38" s="167">
        <f t="shared" si="13"/>
        <v>0</v>
      </c>
    </row>
    <row r="39" spans="1:27" x14ac:dyDescent="0.45">
      <c r="E39" s="404" t="s">
        <v>78</v>
      </c>
      <c r="F39" s="404"/>
      <c r="G39" s="78">
        <f t="shared" ref="G39:P39" si="16">COUNTIF(G5:G38,"&lt;&gt;0")</f>
        <v>0</v>
      </c>
      <c r="H39" s="78">
        <f t="shared" si="16"/>
        <v>11</v>
      </c>
      <c r="I39" s="78">
        <f t="shared" si="16"/>
        <v>19</v>
      </c>
      <c r="J39" s="78">
        <f t="shared" si="16"/>
        <v>21</v>
      </c>
      <c r="K39" s="78">
        <f t="shared" si="16"/>
        <v>26</v>
      </c>
      <c r="L39" s="78">
        <f t="shared" si="16"/>
        <v>28</v>
      </c>
      <c r="M39" s="78">
        <f t="shared" si="16"/>
        <v>31</v>
      </c>
      <c r="N39" s="78">
        <f t="shared" si="16"/>
        <v>33</v>
      </c>
      <c r="O39" s="78">
        <f t="shared" si="16"/>
        <v>33</v>
      </c>
      <c r="P39" s="78">
        <f t="shared" si="16"/>
        <v>34</v>
      </c>
    </row>
    <row r="40" spans="1:27" x14ac:dyDescent="0.45">
      <c r="F40" s="166" t="s">
        <v>169</v>
      </c>
      <c r="G40" s="168">
        <f>COUNTIF(R5:R38,"&lt;&gt;0")</f>
        <v>0</v>
      </c>
      <c r="H40" s="168">
        <f t="shared" ref="H40:P40" si="17">COUNTIF(S5:S38,"&lt;&gt;0")</f>
        <v>3</v>
      </c>
      <c r="I40" s="168">
        <f t="shared" si="17"/>
        <v>6</v>
      </c>
      <c r="J40" s="168">
        <f t="shared" si="17"/>
        <v>7</v>
      </c>
      <c r="K40" s="168">
        <f t="shared" si="17"/>
        <v>10</v>
      </c>
      <c r="L40" s="168">
        <f t="shared" si="17"/>
        <v>11</v>
      </c>
      <c r="M40" s="168">
        <f t="shared" si="17"/>
        <v>13</v>
      </c>
      <c r="N40" s="168">
        <f t="shared" si="17"/>
        <v>15</v>
      </c>
      <c r="O40" s="168">
        <f t="shared" si="17"/>
        <v>15</v>
      </c>
      <c r="P40" s="168">
        <f t="shared" si="17"/>
        <v>15</v>
      </c>
    </row>
    <row r="41" spans="1:27" x14ac:dyDescent="0.45">
      <c r="F41" s="166" t="s">
        <v>170</v>
      </c>
      <c r="G41">
        <f t="shared" ref="G41:P41" si="18">G39-G40</f>
        <v>0</v>
      </c>
      <c r="H41">
        <f t="shared" si="18"/>
        <v>8</v>
      </c>
      <c r="I41">
        <f t="shared" si="18"/>
        <v>13</v>
      </c>
      <c r="J41">
        <f t="shared" si="18"/>
        <v>14</v>
      </c>
      <c r="K41">
        <f t="shared" si="18"/>
        <v>16</v>
      </c>
      <c r="L41">
        <f t="shared" si="18"/>
        <v>17</v>
      </c>
      <c r="M41">
        <f t="shared" si="18"/>
        <v>18</v>
      </c>
      <c r="N41">
        <f t="shared" si="18"/>
        <v>18</v>
      </c>
      <c r="O41">
        <f t="shared" si="18"/>
        <v>18</v>
      </c>
      <c r="P41">
        <f t="shared" si="18"/>
        <v>19</v>
      </c>
    </row>
    <row r="43" spans="1:27" x14ac:dyDescent="0.45">
      <c r="G43" s="1"/>
      <c r="H43" s="1"/>
      <c r="I43" s="1"/>
      <c r="J43" s="1"/>
      <c r="K43" s="1"/>
      <c r="L43" s="1"/>
      <c r="M43" s="1"/>
      <c r="N43" s="1"/>
      <c r="O43" s="1"/>
      <c r="P43" s="1"/>
    </row>
    <row r="45" spans="1:27" x14ac:dyDescent="0.45">
      <c r="H45" t="s">
        <v>262</v>
      </c>
    </row>
    <row r="46" spans="1:27" x14ac:dyDescent="0.45">
      <c r="G46" s="1"/>
      <c r="H46" s="1"/>
      <c r="I46" s="1"/>
      <c r="J46" s="1"/>
      <c r="K46" s="1"/>
      <c r="L46" s="1"/>
    </row>
  </sheetData>
  <sortState xmlns:xlrd2="http://schemas.microsoft.com/office/spreadsheetml/2017/richdata2" ref="C5:F38">
    <sortCondition ref="D5:D38"/>
  </sortState>
  <mergeCells count="3">
    <mergeCell ref="G3:K3"/>
    <mergeCell ref="D2:F2"/>
    <mergeCell ref="E39:F39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592C7-BBD8-4472-91CD-EB197B9FEAE1}">
  <dimension ref="C2:N30"/>
  <sheetViews>
    <sheetView showGridLines="0" workbookViewId="0">
      <selection activeCell="E23" sqref="E23"/>
    </sheetView>
  </sheetViews>
  <sheetFormatPr baseColWidth="10" defaultRowHeight="14.25" x14ac:dyDescent="0.45"/>
  <cols>
    <col min="3" max="3" width="29.06640625" bestFit="1" customWidth="1"/>
    <col min="4" max="4" width="12.33203125" bestFit="1" customWidth="1"/>
    <col min="5" max="7" width="10.86328125" bestFit="1" customWidth="1"/>
    <col min="10" max="10" width="21.265625" bestFit="1" customWidth="1"/>
    <col min="12" max="12" width="10.796875" customWidth="1"/>
  </cols>
  <sheetData>
    <row r="2" spans="3:14" ht="14.65" thickBot="1" x14ac:dyDescent="0.5"/>
    <row r="3" spans="3:14" ht="14.65" thickBot="1" x14ac:dyDescent="0.5">
      <c r="C3" s="273" t="s">
        <v>224</v>
      </c>
      <c r="D3" s="274">
        <f>9/12</f>
        <v>0.75</v>
      </c>
      <c r="E3" s="274">
        <f t="shared" ref="E3:M3" si="0">D3+E4-D4</f>
        <v>1.75</v>
      </c>
      <c r="F3" s="275">
        <f t="shared" si="0"/>
        <v>2.75</v>
      </c>
      <c r="G3" s="275">
        <f t="shared" si="0"/>
        <v>3.75</v>
      </c>
      <c r="H3" s="275">
        <f t="shared" si="0"/>
        <v>4.75</v>
      </c>
      <c r="I3" s="275">
        <f t="shared" si="0"/>
        <v>5.75</v>
      </c>
      <c r="J3" s="275">
        <f t="shared" si="0"/>
        <v>6.75</v>
      </c>
      <c r="K3" s="275">
        <f t="shared" si="0"/>
        <v>7.75</v>
      </c>
      <c r="L3" s="275">
        <f t="shared" si="0"/>
        <v>8.75</v>
      </c>
      <c r="M3" s="275">
        <f t="shared" si="0"/>
        <v>9.75</v>
      </c>
    </row>
    <row r="4" spans="3:14" x14ac:dyDescent="0.45">
      <c r="C4" s="272" t="s">
        <v>62</v>
      </c>
      <c r="D4" s="279">
        <v>2021</v>
      </c>
      <c r="E4" s="279">
        <v>2022</v>
      </c>
      <c r="F4" s="280">
        <v>2023</v>
      </c>
      <c r="G4" s="280">
        <v>2024</v>
      </c>
      <c r="H4" s="280">
        <v>2025</v>
      </c>
      <c r="I4" s="280">
        <v>2026</v>
      </c>
      <c r="J4" s="280">
        <v>2027</v>
      </c>
      <c r="K4" s="280">
        <v>2028</v>
      </c>
      <c r="L4" s="280">
        <v>2029</v>
      </c>
      <c r="M4" s="280">
        <v>2030</v>
      </c>
      <c r="N4" s="277" t="s">
        <v>227</v>
      </c>
    </row>
    <row r="5" spans="3:14" ht="14.65" thickBot="1" x14ac:dyDescent="0.5">
      <c r="C5" s="269" t="s">
        <v>223</v>
      </c>
      <c r="D5" s="253">
        <f>'Flux de trésorerie (p)'!E25</f>
        <v>-76659.396666666667</v>
      </c>
      <c r="E5" s="169">
        <f>'Flux de trésorerie (p)'!F25</f>
        <v>-880858.41216666659</v>
      </c>
      <c r="F5" s="276">
        <f>'Flux de trésorerie (p)'!G25</f>
        <v>-702715.46153333329</v>
      </c>
      <c r="G5" s="276">
        <f>'Flux de trésorerie (p)'!H25</f>
        <v>1221578.5041888889</v>
      </c>
      <c r="H5" s="276">
        <f>'Flux de trésorerie (p)'!I25</f>
        <v>3231450.2856575968</v>
      </c>
      <c r="I5" s="276">
        <f>'Flux de trésorerie (p)'!J25</f>
        <v>6333600.813855974</v>
      </c>
      <c r="J5" s="276">
        <f>'Flux de trésorerie (p)'!K25</f>
        <v>8660321.1710180528</v>
      </c>
      <c r="K5" s="276">
        <f>'Flux de trésorerie (p)'!L25</f>
        <v>10825450.110900866</v>
      </c>
      <c r="L5" s="276">
        <f>'Flux de trésorerie (p)'!M25</f>
        <v>11722284.823199479</v>
      </c>
      <c r="M5" s="276">
        <f>'Flux de trésorerie (p)'!N25</f>
        <v>11917927.526161788</v>
      </c>
      <c r="N5" s="278">
        <f>M5*(1+J11)</f>
        <v>12037106.801423406</v>
      </c>
    </row>
    <row r="6" spans="3:14" ht="14.65" thickBot="1" x14ac:dyDescent="0.5">
      <c r="C6" s="270" t="s">
        <v>228</v>
      </c>
      <c r="D6" s="271">
        <f t="shared" ref="D6:I6" si="1">D5/((1+$J$10)^D3)</f>
        <v>-67839.564263695371</v>
      </c>
      <c r="E6" s="171">
        <f t="shared" si="1"/>
        <v>-662288.625363864</v>
      </c>
      <c r="F6" s="172">
        <f t="shared" si="1"/>
        <v>-448894.4504807723</v>
      </c>
      <c r="G6" s="172">
        <f t="shared" si="1"/>
        <v>662994.07352299977</v>
      </c>
      <c r="H6" s="172">
        <f t="shared" si="1"/>
        <v>1490078.9527680182</v>
      </c>
      <c r="I6" s="172">
        <f t="shared" si="1"/>
        <v>2481338.5705949487</v>
      </c>
      <c r="J6" s="172">
        <f>J5/((1+$J$10)^J3)</f>
        <v>2882656.3642161526</v>
      </c>
      <c r="K6" s="172">
        <f>K5/((1+$J$10)^K3)</f>
        <v>3061458.494351245</v>
      </c>
      <c r="L6" s="172">
        <f>L5/((1+$J$10)^L3)</f>
        <v>2816554.8917174656</v>
      </c>
      <c r="M6" s="172">
        <f>M5/((1+$J$10)^M3)</f>
        <v>2432933.4382949667</v>
      </c>
      <c r="N6" s="172"/>
    </row>
    <row r="7" spans="3:14" x14ac:dyDescent="0.45">
      <c r="C7" s="257" t="s">
        <v>230</v>
      </c>
      <c r="D7" s="265">
        <f>SUM(D6:M6)</f>
        <v>14648992.145357464</v>
      </c>
      <c r="E7" s="255"/>
      <c r="F7" s="255"/>
      <c r="G7" s="74"/>
    </row>
    <row r="8" spans="3:14" x14ac:dyDescent="0.45">
      <c r="C8" s="254" t="s">
        <v>229</v>
      </c>
      <c r="D8" s="262">
        <f>N5/(J10-J11)</f>
        <v>72078483.840858728</v>
      </c>
      <c r="E8" s="255"/>
      <c r="F8" s="255"/>
      <c r="G8" s="74"/>
    </row>
    <row r="9" spans="3:14" ht="14.65" thickBot="1" x14ac:dyDescent="0.5">
      <c r="C9" s="256" t="s">
        <v>231</v>
      </c>
      <c r="D9" s="263">
        <f>D8/((1+J10)^M3)</f>
        <v>14714148.339388723</v>
      </c>
      <c r="E9" s="255"/>
      <c r="F9" s="255"/>
      <c r="G9" s="74"/>
    </row>
    <row r="10" spans="3:14" ht="14.65" thickBot="1" x14ac:dyDescent="0.5">
      <c r="C10" s="258" t="s">
        <v>233</v>
      </c>
      <c r="D10" s="264">
        <f>D7+D9</f>
        <v>29363140.484746188</v>
      </c>
      <c r="E10" s="255"/>
      <c r="F10" s="255"/>
      <c r="G10" s="74"/>
      <c r="I10" s="317" t="s">
        <v>225</v>
      </c>
      <c r="J10" s="318">
        <v>0.17699999999999999</v>
      </c>
      <c r="K10" t="s">
        <v>261</v>
      </c>
    </row>
    <row r="11" spans="3:14" ht="14.65" thickBot="1" x14ac:dyDescent="0.5">
      <c r="C11" s="257" t="s">
        <v>232</v>
      </c>
      <c r="D11" s="265">
        <f>'Balance Sheet'!H29-'Balance Sheet'!H70</f>
        <v>24737</v>
      </c>
      <c r="E11" s="255"/>
      <c r="F11" s="255"/>
      <c r="G11" s="74"/>
      <c r="I11" s="251" t="s">
        <v>226</v>
      </c>
      <c r="J11" s="252">
        <v>0.01</v>
      </c>
      <c r="K11" s="300"/>
    </row>
    <row r="12" spans="3:14" x14ac:dyDescent="0.45">
      <c r="C12" s="259" t="s">
        <v>235</v>
      </c>
      <c r="D12" s="266">
        <f>D10+D11</f>
        <v>29387877.484746188</v>
      </c>
      <c r="E12" s="255"/>
      <c r="F12" s="255"/>
      <c r="G12" s="74"/>
    </row>
    <row r="13" spans="3:14" x14ac:dyDescent="0.45">
      <c r="C13" s="260" t="s">
        <v>234</v>
      </c>
      <c r="D13" s="267">
        <f>D12-'Hypothèses de financement'!E5</f>
        <v>27387877.484746188</v>
      </c>
      <c r="E13" s="255"/>
      <c r="F13" s="255"/>
    </row>
    <row r="14" spans="3:14" ht="14.65" thickBot="1" x14ac:dyDescent="0.5">
      <c r="C14" s="261" t="s">
        <v>236</v>
      </c>
      <c r="D14" s="268">
        <f>'Hypothèses de financement'!E5/'DCF model'!D12</f>
        <v>6.8055272145397444E-2</v>
      </c>
      <c r="E14" s="302"/>
      <c r="F14" s="197"/>
    </row>
    <row r="16" spans="3:14" x14ac:dyDescent="0.45">
      <c r="H16" t="s">
        <v>238</v>
      </c>
    </row>
    <row r="24" spans="4:6" x14ac:dyDescent="0.45">
      <c r="D24" s="285"/>
      <c r="E24" s="285"/>
      <c r="F24" s="285"/>
    </row>
    <row r="25" spans="4:6" x14ac:dyDescent="0.45">
      <c r="D25" s="285"/>
      <c r="E25" s="285"/>
      <c r="F25" s="285"/>
    </row>
    <row r="26" spans="4:6" x14ac:dyDescent="0.45">
      <c r="D26" s="286"/>
      <c r="E26" s="286"/>
      <c r="F26" s="286"/>
    </row>
    <row r="28" spans="4:6" x14ac:dyDescent="0.45">
      <c r="D28" s="250"/>
      <c r="E28" s="250"/>
      <c r="F28" s="250"/>
    </row>
    <row r="30" spans="4:6" x14ac:dyDescent="0.45">
      <c r="D30" s="72"/>
      <c r="E30" s="72"/>
      <c r="F30" s="7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9284C-4161-4F84-A26B-2794C4792BD8}">
  <dimension ref="B2:N489"/>
  <sheetViews>
    <sheetView showGridLines="0" zoomScale="70" zoomScaleNormal="70" workbookViewId="0">
      <selection activeCell="J33" sqref="J33"/>
    </sheetView>
  </sheetViews>
  <sheetFormatPr baseColWidth="10" defaultRowHeight="14.25" outlineLevelCol="1" x14ac:dyDescent="0.45"/>
  <cols>
    <col min="2" max="2" width="10.6640625" customWidth="1" outlineLevel="1"/>
    <col min="3" max="3" width="12.33203125" customWidth="1" outlineLevel="1"/>
    <col min="4" max="4" width="26.53125" customWidth="1" outlineLevel="1"/>
    <col min="5" max="6" width="10.6640625" customWidth="1" outlineLevel="1"/>
    <col min="7" max="7" width="11.33203125" customWidth="1" outlineLevel="1"/>
    <col min="9" max="9" width="10.6640625" customWidth="1" outlineLevel="1"/>
    <col min="10" max="10" width="12.796875" bestFit="1" customWidth="1" outlineLevel="1"/>
    <col min="11" max="11" width="26.53125" customWidth="1" outlineLevel="1"/>
    <col min="12" max="13" width="10.6640625" customWidth="1" outlineLevel="1"/>
    <col min="14" max="14" width="12.796875" bestFit="1" customWidth="1" outlineLevel="1"/>
    <col min="15" max="15" width="12.19921875" bestFit="1" customWidth="1"/>
  </cols>
  <sheetData>
    <row r="2" spans="2:14" ht="14.65" thickBot="1" x14ac:dyDescent="0.5"/>
    <row r="3" spans="2:14" ht="14.65" thickBot="1" x14ac:dyDescent="0.5">
      <c r="B3" s="466"/>
      <c r="C3" s="467"/>
      <c r="D3" s="467"/>
      <c r="E3" s="467"/>
      <c r="F3" s="467"/>
      <c r="G3" s="468"/>
      <c r="I3" s="466" t="s">
        <v>259</v>
      </c>
      <c r="J3" s="467"/>
      <c r="K3" s="467"/>
      <c r="L3" s="467"/>
      <c r="M3" s="467"/>
      <c r="N3" s="468"/>
    </row>
    <row r="4" spans="2:14" x14ac:dyDescent="0.45">
      <c r="B4" s="202"/>
      <c r="E4" s="289"/>
      <c r="G4" s="288"/>
      <c r="I4" s="202"/>
      <c r="K4" t="s">
        <v>249</v>
      </c>
      <c r="L4" s="289">
        <v>1E-3</v>
      </c>
      <c r="N4" s="288"/>
    </row>
    <row r="5" spans="2:14" x14ac:dyDescent="0.45">
      <c r="B5" s="202"/>
      <c r="E5" s="290"/>
      <c r="G5" s="288"/>
      <c r="I5" s="202"/>
      <c r="K5" s="301" t="s">
        <v>263</v>
      </c>
      <c r="L5" s="290"/>
      <c r="N5" s="288"/>
    </row>
    <row r="6" spans="2:14" x14ac:dyDescent="0.45">
      <c r="B6" s="202"/>
      <c r="E6" s="290"/>
      <c r="G6" s="288"/>
      <c r="I6" s="202"/>
      <c r="K6" t="s">
        <v>250</v>
      </c>
      <c r="L6" s="290">
        <v>45292</v>
      </c>
      <c r="N6" s="288"/>
    </row>
    <row r="7" spans="2:14" x14ac:dyDescent="0.45">
      <c r="B7" s="202"/>
      <c r="G7" s="288"/>
      <c r="I7" s="202"/>
      <c r="K7" t="s">
        <v>251</v>
      </c>
      <c r="L7">
        <v>60</v>
      </c>
      <c r="N7" s="288"/>
    </row>
    <row r="8" spans="2:14" x14ac:dyDescent="0.45">
      <c r="B8" s="202"/>
      <c r="E8" s="255"/>
      <c r="G8" s="288"/>
      <c r="I8" s="202"/>
      <c r="K8" t="s">
        <v>252</v>
      </c>
      <c r="L8" s="255">
        <f>'Hypothèses de financement'!E6</f>
        <v>250000</v>
      </c>
      <c r="N8" s="288"/>
    </row>
    <row r="9" spans="2:14" ht="14.65" thickBot="1" x14ac:dyDescent="0.5">
      <c r="B9" s="204"/>
      <c r="C9" s="292"/>
      <c r="D9" s="292"/>
      <c r="E9" s="292"/>
      <c r="F9" s="292"/>
      <c r="G9" s="293"/>
      <c r="I9" s="204"/>
      <c r="J9" s="292"/>
      <c r="K9" s="292"/>
      <c r="L9" s="292"/>
      <c r="M9" s="292"/>
      <c r="N9" s="293"/>
    </row>
    <row r="10" spans="2:14" x14ac:dyDescent="0.45">
      <c r="B10" s="202"/>
      <c r="G10" s="288"/>
      <c r="I10" s="202" t="s">
        <v>253</v>
      </c>
      <c r="J10" t="s">
        <v>254</v>
      </c>
      <c r="K10" t="s">
        <v>255</v>
      </c>
      <c r="L10" t="s">
        <v>256</v>
      </c>
      <c r="M10" t="s">
        <v>257</v>
      </c>
      <c r="N10" s="288" t="s">
        <v>258</v>
      </c>
    </row>
    <row r="11" spans="2:14" x14ac:dyDescent="0.45">
      <c r="B11" s="294"/>
      <c r="C11" s="291"/>
      <c r="D11" s="291"/>
      <c r="E11" s="291"/>
      <c r="F11" s="291"/>
      <c r="G11" s="295"/>
      <c r="I11" s="294">
        <f>L6</f>
        <v>45292</v>
      </c>
      <c r="J11" s="291">
        <f>L8</f>
        <v>250000</v>
      </c>
      <c r="K11" s="291">
        <f>IF(ROUNDDOWN(J11,0)=0,0,PMT($L$4/12,$L$7,-$L$8)+$L$5)</f>
        <v>4177.2656222235482</v>
      </c>
      <c r="L11" s="291">
        <f>IF(ROUNDDOWN(J11,0)=0,0,(J11*$L$4/12)+$L$5)</f>
        <v>20.833333333333332</v>
      </c>
      <c r="M11" s="291">
        <f>K11-L11</f>
        <v>4156.4322888902152</v>
      </c>
      <c r="N11" s="295">
        <f>J11-M11</f>
        <v>245843.56771110979</v>
      </c>
    </row>
    <row r="12" spans="2:14" x14ac:dyDescent="0.45">
      <c r="B12" s="294"/>
      <c r="C12" s="291"/>
      <c r="D12" s="291"/>
      <c r="E12" s="291"/>
      <c r="F12" s="291"/>
      <c r="G12" s="295"/>
      <c r="I12" s="294">
        <f>EDATE(I11,1)</f>
        <v>45323</v>
      </c>
      <c r="J12" s="291">
        <f>N11</f>
        <v>245843.56771110979</v>
      </c>
      <c r="K12" s="291">
        <f t="shared" ref="K12:K75" si="0">IF(ROUNDDOWN(J12,0)=0,0,PMT($L$4/12,$L$7,-$L$8)+$L$5)</f>
        <v>4177.2656222235482</v>
      </c>
      <c r="L12" s="291">
        <f t="shared" ref="L12:L75" si="1">IF(ROUNDDOWN(J12,0)=0,0,(J12*$L$4/12)+$L$5)</f>
        <v>20.486963975925814</v>
      </c>
      <c r="M12" s="291">
        <f t="shared" ref="M12:M75" si="2">K12-L12</f>
        <v>4156.7786582476228</v>
      </c>
      <c r="N12" s="295">
        <f t="shared" ref="N12:N75" si="3">J12-M12</f>
        <v>241686.78905286218</v>
      </c>
    </row>
    <row r="13" spans="2:14" x14ac:dyDescent="0.45">
      <c r="B13" s="294"/>
      <c r="C13" s="291"/>
      <c r="D13" s="291"/>
      <c r="E13" s="291"/>
      <c r="F13" s="291"/>
      <c r="G13" s="295"/>
      <c r="I13" s="294">
        <f t="shared" ref="I13:I76" si="4">EDATE(I12,1)</f>
        <v>45352</v>
      </c>
      <c r="J13" s="291">
        <f t="shared" ref="J13:J76" si="5">N12</f>
        <v>241686.78905286218</v>
      </c>
      <c r="K13" s="291">
        <f t="shared" si="0"/>
        <v>4177.2656222235482</v>
      </c>
      <c r="L13" s="291">
        <f t="shared" si="1"/>
        <v>20.140565754405184</v>
      </c>
      <c r="M13" s="291">
        <f t="shared" si="2"/>
        <v>4157.1250564691427</v>
      </c>
      <c r="N13" s="295">
        <f t="shared" si="3"/>
        <v>237529.66399639304</v>
      </c>
    </row>
    <row r="14" spans="2:14" x14ac:dyDescent="0.45">
      <c r="B14" s="294"/>
      <c r="C14" s="291"/>
      <c r="D14" s="291"/>
      <c r="E14" s="291"/>
      <c r="F14" s="291"/>
      <c r="G14" s="295"/>
      <c r="I14" s="294">
        <f t="shared" si="4"/>
        <v>45383</v>
      </c>
      <c r="J14" s="291">
        <f t="shared" si="5"/>
        <v>237529.66399639304</v>
      </c>
      <c r="K14" s="291">
        <f t="shared" si="0"/>
        <v>4177.2656222235482</v>
      </c>
      <c r="L14" s="291">
        <f t="shared" si="1"/>
        <v>19.794138666366088</v>
      </c>
      <c r="M14" s="291">
        <f t="shared" si="2"/>
        <v>4157.4714835571822</v>
      </c>
      <c r="N14" s="295">
        <f t="shared" si="3"/>
        <v>233372.19251283584</v>
      </c>
    </row>
    <row r="15" spans="2:14" x14ac:dyDescent="0.45">
      <c r="B15" s="294"/>
      <c r="C15" s="291"/>
      <c r="D15" s="291"/>
      <c r="E15" s="291"/>
      <c r="F15" s="291"/>
      <c r="G15" s="295"/>
      <c r="I15" s="294">
        <f t="shared" si="4"/>
        <v>45413</v>
      </c>
      <c r="J15" s="291">
        <f t="shared" si="5"/>
        <v>233372.19251283584</v>
      </c>
      <c r="K15" s="291">
        <f t="shared" si="0"/>
        <v>4177.2656222235482</v>
      </c>
      <c r="L15" s="291">
        <f t="shared" si="1"/>
        <v>19.447682709402986</v>
      </c>
      <c r="M15" s="291">
        <f t="shared" si="2"/>
        <v>4157.8179395141451</v>
      </c>
      <c r="N15" s="295">
        <f t="shared" si="3"/>
        <v>229214.37457332169</v>
      </c>
    </row>
    <row r="16" spans="2:14" x14ac:dyDescent="0.45">
      <c r="B16" s="294"/>
      <c r="C16" s="291"/>
      <c r="D16" s="291"/>
      <c r="E16" s="291"/>
      <c r="F16" s="291"/>
      <c r="G16" s="295"/>
      <c r="I16" s="294">
        <f t="shared" si="4"/>
        <v>45444</v>
      </c>
      <c r="J16" s="291">
        <f t="shared" si="5"/>
        <v>229214.37457332169</v>
      </c>
      <c r="K16" s="291">
        <f t="shared" si="0"/>
        <v>4177.2656222235482</v>
      </c>
      <c r="L16" s="291">
        <f t="shared" si="1"/>
        <v>19.101197881110142</v>
      </c>
      <c r="M16" s="291">
        <f t="shared" si="2"/>
        <v>4158.164424342438</v>
      </c>
      <c r="N16" s="295">
        <f t="shared" si="3"/>
        <v>225056.21014897927</v>
      </c>
    </row>
    <row r="17" spans="2:14" x14ac:dyDescent="0.45">
      <c r="B17" s="294"/>
      <c r="C17" s="291"/>
      <c r="D17" s="291"/>
      <c r="E17" s="291"/>
      <c r="F17" s="291"/>
      <c r="G17" s="295"/>
      <c r="I17" s="294">
        <f t="shared" si="4"/>
        <v>45474</v>
      </c>
      <c r="J17" s="291">
        <f t="shared" si="5"/>
        <v>225056.21014897927</v>
      </c>
      <c r="K17" s="291">
        <f t="shared" si="0"/>
        <v>4177.2656222235482</v>
      </c>
      <c r="L17" s="291">
        <f t="shared" si="1"/>
        <v>18.754684179081604</v>
      </c>
      <c r="M17" s="291">
        <f t="shared" si="2"/>
        <v>4158.5109380444665</v>
      </c>
      <c r="N17" s="295">
        <f t="shared" si="3"/>
        <v>220897.69921093481</v>
      </c>
    </row>
    <row r="18" spans="2:14" x14ac:dyDescent="0.45">
      <c r="B18" s="294"/>
      <c r="C18" s="291"/>
      <c r="D18" s="291"/>
      <c r="E18" s="291"/>
      <c r="F18" s="291"/>
      <c r="G18" s="295"/>
      <c r="I18" s="294">
        <f t="shared" si="4"/>
        <v>45505</v>
      </c>
      <c r="J18" s="291">
        <f t="shared" si="5"/>
        <v>220897.69921093481</v>
      </c>
      <c r="K18" s="291">
        <f t="shared" si="0"/>
        <v>4177.2656222235482</v>
      </c>
      <c r="L18" s="291">
        <f t="shared" si="1"/>
        <v>18.408141600911232</v>
      </c>
      <c r="M18" s="291">
        <f t="shared" si="2"/>
        <v>4158.857480622637</v>
      </c>
      <c r="N18" s="295">
        <f t="shared" si="3"/>
        <v>216738.84173031218</v>
      </c>
    </row>
    <row r="19" spans="2:14" x14ac:dyDescent="0.45">
      <c r="B19" s="294"/>
      <c r="C19" s="291"/>
      <c r="D19" s="291"/>
      <c r="E19" s="291"/>
      <c r="F19" s="291"/>
      <c r="G19" s="295"/>
      <c r="I19" s="294">
        <f t="shared" si="4"/>
        <v>45536</v>
      </c>
      <c r="J19" s="291">
        <f t="shared" si="5"/>
        <v>216738.84173031218</v>
      </c>
      <c r="K19" s="291">
        <f t="shared" si="0"/>
        <v>4177.2656222235482</v>
      </c>
      <c r="L19" s="291">
        <f t="shared" si="1"/>
        <v>18.061570144192682</v>
      </c>
      <c r="M19" s="291">
        <f t="shared" si="2"/>
        <v>4159.2040520793553</v>
      </c>
      <c r="N19" s="295">
        <f t="shared" si="3"/>
        <v>212579.63767823283</v>
      </c>
    </row>
    <row r="20" spans="2:14" x14ac:dyDescent="0.45">
      <c r="B20" s="294"/>
      <c r="C20" s="291"/>
      <c r="D20" s="291"/>
      <c r="E20" s="291"/>
      <c r="F20" s="291"/>
      <c r="G20" s="295"/>
      <c r="I20" s="294">
        <f t="shared" si="4"/>
        <v>45566</v>
      </c>
      <c r="J20" s="291">
        <f t="shared" si="5"/>
        <v>212579.63767823283</v>
      </c>
      <c r="K20" s="291">
        <f t="shared" si="0"/>
        <v>4177.2656222235482</v>
      </c>
      <c r="L20" s="291">
        <f t="shared" si="1"/>
        <v>17.714969806519402</v>
      </c>
      <c r="M20" s="291">
        <f t="shared" si="2"/>
        <v>4159.5506524170287</v>
      </c>
      <c r="N20" s="295">
        <f t="shared" si="3"/>
        <v>208420.0870258158</v>
      </c>
    </row>
    <row r="21" spans="2:14" x14ac:dyDescent="0.45">
      <c r="B21" s="294"/>
      <c r="C21" s="291"/>
      <c r="D21" s="291"/>
      <c r="E21" s="291"/>
      <c r="F21" s="291"/>
      <c r="G21" s="295"/>
      <c r="I21" s="294">
        <f t="shared" si="4"/>
        <v>45597</v>
      </c>
      <c r="J21" s="291">
        <f t="shared" si="5"/>
        <v>208420.0870258158</v>
      </c>
      <c r="K21" s="291">
        <f t="shared" si="0"/>
        <v>4177.2656222235482</v>
      </c>
      <c r="L21" s="291">
        <f t="shared" si="1"/>
        <v>17.368340585484649</v>
      </c>
      <c r="M21" s="291">
        <f t="shared" si="2"/>
        <v>4159.8972816380638</v>
      </c>
      <c r="N21" s="295">
        <f t="shared" si="3"/>
        <v>204260.18974417774</v>
      </c>
    </row>
    <row r="22" spans="2:14" x14ac:dyDescent="0.45">
      <c r="B22" s="294"/>
      <c r="C22" s="291"/>
      <c r="D22" s="291"/>
      <c r="E22" s="291"/>
      <c r="F22" s="291"/>
      <c r="G22" s="295"/>
      <c r="I22" s="294">
        <f t="shared" si="4"/>
        <v>45627</v>
      </c>
      <c r="J22" s="291">
        <f t="shared" si="5"/>
        <v>204260.18974417774</v>
      </c>
      <c r="K22" s="291">
        <f t="shared" si="0"/>
        <v>4177.2656222235482</v>
      </c>
      <c r="L22" s="291">
        <f t="shared" si="1"/>
        <v>17.02168247868148</v>
      </c>
      <c r="M22" s="291">
        <f t="shared" si="2"/>
        <v>4160.243939744867</v>
      </c>
      <c r="N22" s="295">
        <f t="shared" si="3"/>
        <v>200099.94580443288</v>
      </c>
    </row>
    <row r="23" spans="2:14" x14ac:dyDescent="0.45">
      <c r="B23" s="294"/>
      <c r="C23" s="291"/>
      <c r="D23" s="291"/>
      <c r="E23" s="291"/>
      <c r="F23" s="291"/>
      <c r="G23" s="295"/>
      <c r="I23" s="294">
        <f t="shared" si="4"/>
        <v>45658</v>
      </c>
      <c r="J23" s="291">
        <f t="shared" si="5"/>
        <v>200099.94580443288</v>
      </c>
      <c r="K23" s="291">
        <f t="shared" si="0"/>
        <v>4177.2656222235482</v>
      </c>
      <c r="L23" s="291">
        <f t="shared" si="1"/>
        <v>16.674995483702741</v>
      </c>
      <c r="M23" s="291">
        <f t="shared" si="2"/>
        <v>4160.5906267398459</v>
      </c>
      <c r="N23" s="295">
        <f t="shared" si="3"/>
        <v>195939.35517769304</v>
      </c>
    </row>
    <row r="24" spans="2:14" x14ac:dyDescent="0.45">
      <c r="B24" s="294"/>
      <c r="C24" s="291"/>
      <c r="D24" s="291"/>
      <c r="E24" s="291"/>
      <c r="F24" s="291"/>
      <c r="G24" s="295"/>
      <c r="I24" s="294">
        <f t="shared" si="4"/>
        <v>45689</v>
      </c>
      <c r="J24" s="291">
        <f t="shared" si="5"/>
        <v>195939.35517769304</v>
      </c>
      <c r="K24" s="291">
        <f t="shared" si="0"/>
        <v>4177.2656222235482</v>
      </c>
      <c r="L24" s="291">
        <f t="shared" si="1"/>
        <v>16.328279598141087</v>
      </c>
      <c r="M24" s="291">
        <f t="shared" si="2"/>
        <v>4160.9373426254069</v>
      </c>
      <c r="N24" s="295">
        <f t="shared" si="3"/>
        <v>191778.41783506764</v>
      </c>
    </row>
    <row r="25" spans="2:14" x14ac:dyDescent="0.45">
      <c r="B25" s="294"/>
      <c r="C25" s="291"/>
      <c r="D25" s="291"/>
      <c r="E25" s="291"/>
      <c r="F25" s="291"/>
      <c r="G25" s="295"/>
      <c r="I25" s="294">
        <f t="shared" si="4"/>
        <v>45717</v>
      </c>
      <c r="J25" s="291">
        <f t="shared" si="5"/>
        <v>191778.41783506764</v>
      </c>
      <c r="K25" s="291">
        <f t="shared" si="0"/>
        <v>4177.2656222235482</v>
      </c>
      <c r="L25" s="291">
        <f t="shared" si="1"/>
        <v>15.981534819588971</v>
      </c>
      <c r="M25" s="291">
        <f t="shared" si="2"/>
        <v>4161.2840874039593</v>
      </c>
      <c r="N25" s="295">
        <f t="shared" si="3"/>
        <v>187617.13374766367</v>
      </c>
    </row>
    <row r="26" spans="2:14" x14ac:dyDescent="0.45">
      <c r="B26" s="294"/>
      <c r="C26" s="291"/>
      <c r="D26" s="291"/>
      <c r="E26" s="291"/>
      <c r="F26" s="291"/>
      <c r="G26" s="295"/>
      <c r="I26" s="294">
        <f t="shared" si="4"/>
        <v>45748</v>
      </c>
      <c r="J26" s="291">
        <f t="shared" si="5"/>
        <v>187617.13374766367</v>
      </c>
      <c r="K26" s="291">
        <f t="shared" si="0"/>
        <v>4177.2656222235482</v>
      </c>
      <c r="L26" s="291">
        <f t="shared" si="1"/>
        <v>15.63476114563864</v>
      </c>
      <c r="M26" s="291">
        <f t="shared" si="2"/>
        <v>4161.6308610779097</v>
      </c>
      <c r="N26" s="295">
        <f t="shared" si="3"/>
        <v>183455.50288658575</v>
      </c>
    </row>
    <row r="27" spans="2:14" x14ac:dyDescent="0.45">
      <c r="B27" s="294"/>
      <c r="C27" s="291"/>
      <c r="D27" s="291"/>
      <c r="E27" s="291"/>
      <c r="F27" s="291"/>
      <c r="G27" s="295"/>
      <c r="I27" s="294">
        <f t="shared" si="4"/>
        <v>45778</v>
      </c>
      <c r="J27" s="291">
        <f t="shared" si="5"/>
        <v>183455.50288658575</v>
      </c>
      <c r="K27" s="291">
        <f t="shared" si="0"/>
        <v>4177.2656222235482</v>
      </c>
      <c r="L27" s="291">
        <f t="shared" si="1"/>
        <v>15.287958573882145</v>
      </c>
      <c r="M27" s="291">
        <f t="shared" si="2"/>
        <v>4161.9776636496663</v>
      </c>
      <c r="N27" s="295">
        <f t="shared" si="3"/>
        <v>179293.52522293609</v>
      </c>
    </row>
    <row r="28" spans="2:14" x14ac:dyDescent="0.45">
      <c r="B28" s="294"/>
      <c r="C28" s="291"/>
      <c r="D28" s="291"/>
      <c r="E28" s="291"/>
      <c r="F28" s="291"/>
      <c r="G28" s="295"/>
      <c r="I28" s="294">
        <f t="shared" si="4"/>
        <v>45809</v>
      </c>
      <c r="J28" s="291">
        <f t="shared" si="5"/>
        <v>179293.52522293609</v>
      </c>
      <c r="K28" s="291">
        <f t="shared" si="0"/>
        <v>4177.2656222235482</v>
      </c>
      <c r="L28" s="291">
        <f t="shared" si="1"/>
        <v>14.941127101911341</v>
      </c>
      <c r="M28" s="291">
        <f t="shared" si="2"/>
        <v>4162.3244951216366</v>
      </c>
      <c r="N28" s="295">
        <f t="shared" si="3"/>
        <v>175131.20072781446</v>
      </c>
    </row>
    <row r="29" spans="2:14" x14ac:dyDescent="0.45">
      <c r="B29" s="294"/>
      <c r="C29" s="291"/>
      <c r="D29" s="291"/>
      <c r="E29" s="291"/>
      <c r="F29" s="291"/>
      <c r="G29" s="295"/>
      <c r="I29" s="294">
        <f t="shared" si="4"/>
        <v>45839</v>
      </c>
      <c r="J29" s="291">
        <f t="shared" si="5"/>
        <v>175131.20072781446</v>
      </c>
      <c r="K29" s="291">
        <f t="shared" si="0"/>
        <v>4177.2656222235482</v>
      </c>
      <c r="L29" s="291">
        <f t="shared" si="1"/>
        <v>14.594266727317873</v>
      </c>
      <c r="M29" s="291">
        <f t="shared" si="2"/>
        <v>4162.6713554962307</v>
      </c>
      <c r="N29" s="295">
        <f t="shared" si="3"/>
        <v>170968.52937231824</v>
      </c>
    </row>
    <row r="30" spans="2:14" x14ac:dyDescent="0.45">
      <c r="B30" s="294"/>
      <c r="C30" s="291"/>
      <c r="D30" s="291"/>
      <c r="E30" s="291"/>
      <c r="F30" s="291"/>
      <c r="G30" s="295"/>
      <c r="I30" s="294">
        <f t="shared" si="4"/>
        <v>45870</v>
      </c>
      <c r="J30" s="291">
        <f t="shared" si="5"/>
        <v>170968.52937231824</v>
      </c>
      <c r="K30" s="291">
        <f t="shared" si="0"/>
        <v>4177.2656222235482</v>
      </c>
      <c r="L30" s="291">
        <f t="shared" si="1"/>
        <v>14.247377447693188</v>
      </c>
      <c r="M30" s="291">
        <f t="shared" si="2"/>
        <v>4163.0182447758552</v>
      </c>
      <c r="N30" s="295">
        <f t="shared" si="3"/>
        <v>166805.51112754238</v>
      </c>
    </row>
    <row r="31" spans="2:14" x14ac:dyDescent="0.45">
      <c r="B31" s="294"/>
      <c r="C31" s="291"/>
      <c r="D31" s="291"/>
      <c r="E31" s="291"/>
      <c r="F31" s="291"/>
      <c r="G31" s="295"/>
      <c r="I31" s="294">
        <f t="shared" si="4"/>
        <v>45901</v>
      </c>
      <c r="J31" s="291">
        <f t="shared" si="5"/>
        <v>166805.51112754238</v>
      </c>
      <c r="K31" s="291">
        <f t="shared" si="0"/>
        <v>4177.2656222235482</v>
      </c>
      <c r="L31" s="291">
        <f t="shared" si="1"/>
        <v>13.900459260628532</v>
      </c>
      <c r="M31" s="291">
        <f t="shared" si="2"/>
        <v>4163.3651629629194</v>
      </c>
      <c r="N31" s="295">
        <f t="shared" si="3"/>
        <v>162642.14596457945</v>
      </c>
    </row>
    <row r="32" spans="2:14" x14ac:dyDescent="0.45">
      <c r="B32" s="294"/>
      <c r="C32" s="291"/>
      <c r="D32" s="291"/>
      <c r="E32" s="291"/>
      <c r="F32" s="291"/>
      <c r="G32" s="295"/>
      <c r="I32" s="294">
        <f t="shared" si="4"/>
        <v>45931</v>
      </c>
      <c r="J32" s="291">
        <f t="shared" si="5"/>
        <v>162642.14596457945</v>
      </c>
      <c r="K32" s="291">
        <f t="shared" si="0"/>
        <v>4177.2656222235482</v>
      </c>
      <c r="L32" s="291">
        <f t="shared" si="1"/>
        <v>13.553512163714956</v>
      </c>
      <c r="M32" s="291">
        <f t="shared" si="2"/>
        <v>4163.7121100598333</v>
      </c>
      <c r="N32" s="295">
        <f t="shared" si="3"/>
        <v>158478.43385451962</v>
      </c>
    </row>
    <row r="33" spans="2:14" x14ac:dyDescent="0.45">
      <c r="B33" s="294"/>
      <c r="C33" s="291"/>
      <c r="D33" s="291"/>
      <c r="E33" s="291"/>
      <c r="F33" s="291"/>
      <c r="G33" s="295"/>
      <c r="I33" s="294">
        <f t="shared" si="4"/>
        <v>45962</v>
      </c>
      <c r="J33" s="291">
        <f t="shared" si="5"/>
        <v>158478.43385451962</v>
      </c>
      <c r="K33" s="291">
        <f t="shared" si="0"/>
        <v>4177.2656222235482</v>
      </c>
      <c r="L33" s="291">
        <f t="shared" si="1"/>
        <v>13.206536154543302</v>
      </c>
      <c r="M33" s="291">
        <f t="shared" si="2"/>
        <v>4164.0590860690045</v>
      </c>
      <c r="N33" s="295">
        <f t="shared" si="3"/>
        <v>154314.37476845062</v>
      </c>
    </row>
    <row r="34" spans="2:14" x14ac:dyDescent="0.45">
      <c r="B34" s="294"/>
      <c r="C34" s="291"/>
      <c r="D34" s="291"/>
      <c r="E34" s="291"/>
      <c r="F34" s="291"/>
      <c r="G34" s="295"/>
      <c r="I34" s="294">
        <f t="shared" si="4"/>
        <v>45992</v>
      </c>
      <c r="J34" s="291">
        <f t="shared" si="5"/>
        <v>154314.37476845062</v>
      </c>
      <c r="K34" s="291">
        <f t="shared" si="0"/>
        <v>4177.2656222235482</v>
      </c>
      <c r="L34" s="291">
        <f t="shared" si="1"/>
        <v>12.859531230704219</v>
      </c>
      <c r="M34" s="291">
        <f t="shared" si="2"/>
        <v>4164.4060909928439</v>
      </c>
      <c r="N34" s="295">
        <f t="shared" si="3"/>
        <v>150149.96867745777</v>
      </c>
    </row>
    <row r="35" spans="2:14" x14ac:dyDescent="0.45">
      <c r="B35" s="294"/>
      <c r="C35" s="291"/>
      <c r="D35" s="291"/>
      <c r="E35" s="291"/>
      <c r="F35" s="291"/>
      <c r="G35" s="295"/>
      <c r="I35" s="294">
        <f t="shared" si="4"/>
        <v>46023</v>
      </c>
      <c r="J35" s="291">
        <f t="shared" si="5"/>
        <v>150149.96867745777</v>
      </c>
      <c r="K35" s="291">
        <f t="shared" si="0"/>
        <v>4177.2656222235482</v>
      </c>
      <c r="L35" s="291">
        <f t="shared" si="1"/>
        <v>12.512497389788146</v>
      </c>
      <c r="M35" s="291">
        <f t="shared" si="2"/>
        <v>4164.75312483376</v>
      </c>
      <c r="N35" s="295">
        <f t="shared" si="3"/>
        <v>145985.21555262402</v>
      </c>
    </row>
    <row r="36" spans="2:14" x14ac:dyDescent="0.45">
      <c r="B36" s="294"/>
      <c r="C36" s="291"/>
      <c r="D36" s="291"/>
      <c r="E36" s="291"/>
      <c r="F36" s="291"/>
      <c r="G36" s="295"/>
      <c r="I36" s="294">
        <f t="shared" si="4"/>
        <v>46054</v>
      </c>
      <c r="J36" s="291">
        <f t="shared" si="5"/>
        <v>145985.21555262402</v>
      </c>
      <c r="K36" s="291">
        <f t="shared" si="0"/>
        <v>4177.2656222235482</v>
      </c>
      <c r="L36" s="291">
        <f t="shared" si="1"/>
        <v>12.165434629385336</v>
      </c>
      <c r="M36" s="291">
        <f t="shared" si="2"/>
        <v>4165.1001875941629</v>
      </c>
      <c r="N36" s="295">
        <f t="shared" si="3"/>
        <v>141820.11536502987</v>
      </c>
    </row>
    <row r="37" spans="2:14" x14ac:dyDescent="0.45">
      <c r="B37" s="294"/>
      <c r="C37" s="291"/>
      <c r="D37" s="291"/>
      <c r="E37" s="291"/>
      <c r="F37" s="291"/>
      <c r="G37" s="295"/>
      <c r="I37" s="294">
        <f t="shared" si="4"/>
        <v>46082</v>
      </c>
      <c r="J37" s="291">
        <f t="shared" si="5"/>
        <v>141820.11536502987</v>
      </c>
      <c r="K37" s="291">
        <f t="shared" si="0"/>
        <v>4177.2656222235482</v>
      </c>
      <c r="L37" s="291">
        <f t="shared" si="1"/>
        <v>11.818342947085823</v>
      </c>
      <c r="M37" s="291">
        <f t="shared" si="2"/>
        <v>4165.4472792764627</v>
      </c>
      <c r="N37" s="295">
        <f t="shared" si="3"/>
        <v>137654.66808575339</v>
      </c>
    </row>
    <row r="38" spans="2:14" x14ac:dyDescent="0.45">
      <c r="B38" s="294"/>
      <c r="C38" s="291"/>
      <c r="D38" s="291"/>
      <c r="E38" s="291"/>
      <c r="F38" s="291"/>
      <c r="G38" s="295"/>
      <c r="I38" s="294">
        <f t="shared" si="4"/>
        <v>46113</v>
      </c>
      <c r="J38" s="291">
        <f t="shared" si="5"/>
        <v>137654.66808575339</v>
      </c>
      <c r="K38" s="291">
        <f t="shared" si="0"/>
        <v>4177.2656222235482</v>
      </c>
      <c r="L38" s="291">
        <f t="shared" si="1"/>
        <v>11.47122234047945</v>
      </c>
      <c r="M38" s="291">
        <f t="shared" si="2"/>
        <v>4165.7943998830688</v>
      </c>
      <c r="N38" s="295">
        <f t="shared" si="3"/>
        <v>133488.87368587032</v>
      </c>
    </row>
    <row r="39" spans="2:14" x14ac:dyDescent="0.45">
      <c r="B39" s="294"/>
      <c r="C39" s="291"/>
      <c r="D39" s="291"/>
      <c r="E39" s="291"/>
      <c r="F39" s="291"/>
      <c r="G39" s="295"/>
      <c r="I39" s="294">
        <f t="shared" si="4"/>
        <v>46143</v>
      </c>
      <c r="J39" s="291">
        <f t="shared" si="5"/>
        <v>133488.87368587032</v>
      </c>
      <c r="K39" s="291">
        <f t="shared" si="0"/>
        <v>4177.2656222235482</v>
      </c>
      <c r="L39" s="291">
        <f t="shared" si="1"/>
        <v>11.12407280715586</v>
      </c>
      <c r="M39" s="291">
        <f t="shared" si="2"/>
        <v>4166.1415494163921</v>
      </c>
      <c r="N39" s="295">
        <f t="shared" si="3"/>
        <v>129322.73213645392</v>
      </c>
    </row>
    <row r="40" spans="2:14" x14ac:dyDescent="0.45">
      <c r="B40" s="294"/>
      <c r="C40" s="291"/>
      <c r="D40" s="291"/>
      <c r="E40" s="291"/>
      <c r="F40" s="291"/>
      <c r="G40" s="295"/>
      <c r="I40" s="294">
        <f t="shared" si="4"/>
        <v>46174</v>
      </c>
      <c r="J40" s="291">
        <f t="shared" si="5"/>
        <v>129322.73213645392</v>
      </c>
      <c r="K40" s="291">
        <f t="shared" si="0"/>
        <v>4177.2656222235482</v>
      </c>
      <c r="L40" s="291">
        <f t="shared" si="1"/>
        <v>10.776894344704495</v>
      </c>
      <c r="M40" s="291">
        <f t="shared" si="2"/>
        <v>4166.4887278788437</v>
      </c>
      <c r="N40" s="295">
        <f t="shared" si="3"/>
        <v>125156.24340857509</v>
      </c>
    </row>
    <row r="41" spans="2:14" x14ac:dyDescent="0.45">
      <c r="B41" s="294"/>
      <c r="C41" s="291"/>
      <c r="D41" s="291"/>
      <c r="E41" s="291"/>
      <c r="F41" s="291"/>
      <c r="G41" s="295"/>
      <c r="I41" s="294">
        <f t="shared" si="4"/>
        <v>46204</v>
      </c>
      <c r="J41" s="291">
        <f t="shared" si="5"/>
        <v>125156.24340857509</v>
      </c>
      <c r="K41" s="291">
        <f t="shared" si="0"/>
        <v>4177.2656222235482</v>
      </c>
      <c r="L41" s="291">
        <f t="shared" si="1"/>
        <v>10.429686950714592</v>
      </c>
      <c r="M41" s="291">
        <f t="shared" si="2"/>
        <v>4166.8359352728339</v>
      </c>
      <c r="N41" s="295">
        <f t="shared" si="3"/>
        <v>120989.40747330226</v>
      </c>
    </row>
    <row r="42" spans="2:14" x14ac:dyDescent="0.45">
      <c r="B42" s="294"/>
      <c r="C42" s="291"/>
      <c r="D42" s="291"/>
      <c r="E42" s="291"/>
      <c r="F42" s="291"/>
      <c r="G42" s="295"/>
      <c r="I42" s="294">
        <f t="shared" si="4"/>
        <v>46235</v>
      </c>
      <c r="J42" s="291">
        <f t="shared" si="5"/>
        <v>120989.40747330226</v>
      </c>
      <c r="K42" s="291">
        <f t="shared" si="0"/>
        <v>4177.2656222235482</v>
      </c>
      <c r="L42" s="291">
        <f t="shared" si="1"/>
        <v>10.082450622775189</v>
      </c>
      <c r="M42" s="291">
        <f t="shared" si="2"/>
        <v>4167.1831716007728</v>
      </c>
      <c r="N42" s="295">
        <f t="shared" si="3"/>
        <v>116822.22430170148</v>
      </c>
    </row>
    <row r="43" spans="2:14" x14ac:dyDescent="0.45">
      <c r="B43" s="294"/>
      <c r="C43" s="291"/>
      <c r="D43" s="291"/>
      <c r="E43" s="291"/>
      <c r="F43" s="291"/>
      <c r="G43" s="295"/>
      <c r="I43" s="294">
        <f t="shared" si="4"/>
        <v>46266</v>
      </c>
      <c r="J43" s="291">
        <f t="shared" si="5"/>
        <v>116822.22430170148</v>
      </c>
      <c r="K43" s="291">
        <f t="shared" si="0"/>
        <v>4177.2656222235482</v>
      </c>
      <c r="L43" s="291">
        <f t="shared" si="1"/>
        <v>9.7351853584751229</v>
      </c>
      <c r="M43" s="291">
        <f t="shared" si="2"/>
        <v>4167.5304368650732</v>
      </c>
      <c r="N43" s="295">
        <f t="shared" si="3"/>
        <v>112654.69386483642</v>
      </c>
    </row>
    <row r="44" spans="2:14" x14ac:dyDescent="0.45">
      <c r="B44" s="294"/>
      <c r="C44" s="291"/>
      <c r="D44" s="291"/>
      <c r="E44" s="291"/>
      <c r="F44" s="291"/>
      <c r="G44" s="295"/>
      <c r="I44" s="294">
        <f t="shared" si="4"/>
        <v>46296</v>
      </c>
      <c r="J44" s="291">
        <f t="shared" si="5"/>
        <v>112654.69386483642</v>
      </c>
      <c r="K44" s="291">
        <f t="shared" si="0"/>
        <v>4177.2656222235482</v>
      </c>
      <c r="L44" s="291">
        <f t="shared" si="1"/>
        <v>9.3878911554030342</v>
      </c>
      <c r="M44" s="291">
        <f t="shared" si="2"/>
        <v>4167.8777310681453</v>
      </c>
      <c r="N44" s="295">
        <f t="shared" si="3"/>
        <v>108486.81613376827</v>
      </c>
    </row>
    <row r="45" spans="2:14" x14ac:dyDescent="0.45">
      <c r="B45" s="294"/>
      <c r="C45" s="291"/>
      <c r="D45" s="291"/>
      <c r="E45" s="291"/>
      <c r="F45" s="291"/>
      <c r="G45" s="295"/>
      <c r="I45" s="294">
        <f t="shared" si="4"/>
        <v>46327</v>
      </c>
      <c r="J45" s="291">
        <f t="shared" si="5"/>
        <v>108486.81613376827</v>
      </c>
      <c r="K45" s="291">
        <f t="shared" si="0"/>
        <v>4177.2656222235482</v>
      </c>
      <c r="L45" s="291">
        <f t="shared" si="1"/>
        <v>9.0405680111473554</v>
      </c>
      <c r="M45" s="291">
        <f t="shared" si="2"/>
        <v>4168.2250542124011</v>
      </c>
      <c r="N45" s="295">
        <f t="shared" si="3"/>
        <v>104318.59107955587</v>
      </c>
    </row>
    <row r="46" spans="2:14" x14ac:dyDescent="0.45">
      <c r="B46" s="294"/>
      <c r="C46" s="291"/>
      <c r="D46" s="291"/>
      <c r="E46" s="291"/>
      <c r="F46" s="291"/>
      <c r="G46" s="295"/>
      <c r="I46" s="294">
        <f t="shared" si="4"/>
        <v>46357</v>
      </c>
      <c r="J46" s="291">
        <f t="shared" si="5"/>
        <v>104318.59107955587</v>
      </c>
      <c r="K46" s="291">
        <f t="shared" si="0"/>
        <v>4177.2656222235482</v>
      </c>
      <c r="L46" s="291">
        <f t="shared" si="1"/>
        <v>8.6932159232963233</v>
      </c>
      <c r="M46" s="291">
        <f t="shared" si="2"/>
        <v>4168.5724063002517</v>
      </c>
      <c r="N46" s="295">
        <f t="shared" si="3"/>
        <v>100150.01867325562</v>
      </c>
    </row>
    <row r="47" spans="2:14" x14ac:dyDescent="0.45">
      <c r="B47" s="294"/>
      <c r="C47" s="291"/>
      <c r="D47" s="291"/>
      <c r="E47" s="291"/>
      <c r="F47" s="291"/>
      <c r="G47" s="295"/>
      <c r="I47" s="294">
        <f t="shared" si="4"/>
        <v>46388</v>
      </c>
      <c r="J47" s="291">
        <f t="shared" si="5"/>
        <v>100150.01867325562</v>
      </c>
      <c r="K47" s="291">
        <f t="shared" si="0"/>
        <v>4177.2656222235482</v>
      </c>
      <c r="L47" s="291">
        <f t="shared" si="1"/>
        <v>8.3458348894379686</v>
      </c>
      <c r="M47" s="291">
        <f t="shared" si="2"/>
        <v>4168.91978733411</v>
      </c>
      <c r="N47" s="295">
        <f t="shared" si="3"/>
        <v>95981.098885921514</v>
      </c>
    </row>
    <row r="48" spans="2:14" x14ac:dyDescent="0.45">
      <c r="B48" s="294"/>
      <c r="C48" s="291"/>
      <c r="D48" s="291"/>
      <c r="E48" s="291"/>
      <c r="F48" s="291"/>
      <c r="G48" s="295"/>
      <c r="I48" s="294">
        <f t="shared" si="4"/>
        <v>46419</v>
      </c>
      <c r="J48" s="291">
        <f t="shared" si="5"/>
        <v>95981.098885921514</v>
      </c>
      <c r="K48" s="291">
        <f t="shared" si="0"/>
        <v>4177.2656222235482</v>
      </c>
      <c r="L48" s="291">
        <f t="shared" si="1"/>
        <v>7.9984249071601257</v>
      </c>
      <c r="M48" s="291">
        <f t="shared" si="2"/>
        <v>4169.2671973163879</v>
      </c>
      <c r="N48" s="295">
        <f t="shared" si="3"/>
        <v>91811.831688605133</v>
      </c>
    </row>
    <row r="49" spans="2:14" x14ac:dyDescent="0.45">
      <c r="B49" s="294"/>
      <c r="C49" s="291"/>
      <c r="D49" s="291"/>
      <c r="E49" s="291"/>
      <c r="F49" s="291"/>
      <c r="G49" s="295"/>
      <c r="I49" s="294">
        <f t="shared" si="4"/>
        <v>46447</v>
      </c>
      <c r="J49" s="291">
        <f t="shared" si="5"/>
        <v>91811.831688605133</v>
      </c>
      <c r="K49" s="291">
        <f t="shared" si="0"/>
        <v>4177.2656222235482</v>
      </c>
      <c r="L49" s="291">
        <f t="shared" si="1"/>
        <v>7.6509859740504282</v>
      </c>
      <c r="M49" s="291">
        <f t="shared" si="2"/>
        <v>4169.6146362494974</v>
      </c>
      <c r="N49" s="295">
        <f t="shared" si="3"/>
        <v>87642.217052355641</v>
      </c>
    </row>
    <row r="50" spans="2:14" x14ac:dyDescent="0.45">
      <c r="B50" s="294"/>
      <c r="C50" s="291"/>
      <c r="D50" s="291"/>
      <c r="E50" s="291"/>
      <c r="F50" s="291"/>
      <c r="G50" s="295"/>
      <c r="I50" s="294">
        <f t="shared" si="4"/>
        <v>46478</v>
      </c>
      <c r="J50" s="291">
        <f t="shared" si="5"/>
        <v>87642.217052355641</v>
      </c>
      <c r="K50" s="291">
        <f t="shared" si="0"/>
        <v>4177.2656222235482</v>
      </c>
      <c r="L50" s="291">
        <f t="shared" si="1"/>
        <v>7.303518087696304</v>
      </c>
      <c r="M50" s="291">
        <f t="shared" si="2"/>
        <v>4169.9621041358523</v>
      </c>
      <c r="N50" s="295">
        <f t="shared" si="3"/>
        <v>83472.254948219794</v>
      </c>
    </row>
    <row r="51" spans="2:14" x14ac:dyDescent="0.45">
      <c r="B51" s="294"/>
      <c r="C51" s="291"/>
      <c r="D51" s="291"/>
      <c r="E51" s="291"/>
      <c r="F51" s="291"/>
      <c r="G51" s="295"/>
      <c r="I51" s="294">
        <f t="shared" si="4"/>
        <v>46508</v>
      </c>
      <c r="J51" s="291">
        <f t="shared" si="5"/>
        <v>83472.254948219794</v>
      </c>
      <c r="K51" s="291">
        <f t="shared" si="0"/>
        <v>4177.2656222235482</v>
      </c>
      <c r="L51" s="291">
        <f t="shared" si="1"/>
        <v>6.9560212456849833</v>
      </c>
      <c r="M51" s="291">
        <f t="shared" si="2"/>
        <v>4170.3096009778628</v>
      </c>
      <c r="N51" s="295">
        <f t="shared" si="3"/>
        <v>79301.945347241926</v>
      </c>
    </row>
    <row r="52" spans="2:14" x14ac:dyDescent="0.45">
      <c r="B52" s="294"/>
      <c r="C52" s="291"/>
      <c r="D52" s="291"/>
      <c r="E52" s="291"/>
      <c r="F52" s="291"/>
      <c r="G52" s="295"/>
      <c r="I52" s="294">
        <f t="shared" si="4"/>
        <v>46539</v>
      </c>
      <c r="J52" s="291">
        <f t="shared" si="5"/>
        <v>79301.945347241926</v>
      </c>
      <c r="K52" s="291">
        <f t="shared" si="0"/>
        <v>4177.2656222235482</v>
      </c>
      <c r="L52" s="291">
        <f t="shared" si="1"/>
        <v>6.6084954456034941</v>
      </c>
      <c r="M52" s="291">
        <f t="shared" si="2"/>
        <v>4170.6571267779445</v>
      </c>
      <c r="N52" s="295">
        <f t="shared" si="3"/>
        <v>75131.288220463975</v>
      </c>
    </row>
    <row r="53" spans="2:14" x14ac:dyDescent="0.45">
      <c r="B53" s="294"/>
      <c r="C53" s="291"/>
      <c r="D53" s="291"/>
      <c r="E53" s="291"/>
      <c r="F53" s="291"/>
      <c r="G53" s="295"/>
      <c r="I53" s="294">
        <f t="shared" si="4"/>
        <v>46569</v>
      </c>
      <c r="J53" s="291">
        <f t="shared" si="5"/>
        <v>75131.288220463975</v>
      </c>
      <c r="K53" s="291">
        <f t="shared" si="0"/>
        <v>4177.2656222235482</v>
      </c>
      <c r="L53" s="291">
        <f t="shared" si="1"/>
        <v>6.2609406850386646</v>
      </c>
      <c r="M53" s="291">
        <f t="shared" si="2"/>
        <v>4171.0046815385094</v>
      </c>
      <c r="N53" s="295">
        <f t="shared" si="3"/>
        <v>70960.283538925461</v>
      </c>
    </row>
    <row r="54" spans="2:14" x14ac:dyDescent="0.45">
      <c r="B54" s="294"/>
      <c r="C54" s="291"/>
      <c r="D54" s="291"/>
      <c r="E54" s="291"/>
      <c r="F54" s="291"/>
      <c r="G54" s="295"/>
      <c r="I54" s="294">
        <f t="shared" si="4"/>
        <v>46600</v>
      </c>
      <c r="J54" s="291">
        <f t="shared" si="5"/>
        <v>70960.283538925461</v>
      </c>
      <c r="K54" s="291">
        <f t="shared" si="0"/>
        <v>4177.2656222235482</v>
      </c>
      <c r="L54" s="291">
        <f t="shared" si="1"/>
        <v>5.9133569615771222</v>
      </c>
      <c r="M54" s="291">
        <f t="shared" si="2"/>
        <v>4171.3522652619713</v>
      </c>
      <c r="N54" s="295">
        <f t="shared" si="3"/>
        <v>66788.931273663489</v>
      </c>
    </row>
    <row r="55" spans="2:14" x14ac:dyDescent="0.45">
      <c r="B55" s="294"/>
      <c r="C55" s="291"/>
      <c r="D55" s="291"/>
      <c r="E55" s="291"/>
      <c r="F55" s="291"/>
      <c r="G55" s="295"/>
      <c r="I55" s="294">
        <f t="shared" si="4"/>
        <v>46631</v>
      </c>
      <c r="J55" s="291">
        <f t="shared" si="5"/>
        <v>66788.931273663489</v>
      </c>
      <c r="K55" s="291">
        <f t="shared" si="0"/>
        <v>4177.2656222235482</v>
      </c>
      <c r="L55" s="291">
        <f t="shared" si="1"/>
        <v>5.5657442728052908</v>
      </c>
      <c r="M55" s="291">
        <f t="shared" si="2"/>
        <v>4171.699877950743</v>
      </c>
      <c r="N55" s="295">
        <f t="shared" si="3"/>
        <v>62617.231395712748</v>
      </c>
    </row>
    <row r="56" spans="2:14" x14ac:dyDescent="0.45">
      <c r="B56" s="294"/>
      <c r="C56" s="291"/>
      <c r="D56" s="291"/>
      <c r="E56" s="291"/>
      <c r="F56" s="291"/>
      <c r="G56" s="295"/>
      <c r="I56" s="294">
        <f t="shared" si="4"/>
        <v>46661</v>
      </c>
      <c r="J56" s="291">
        <f t="shared" si="5"/>
        <v>62617.231395712748</v>
      </c>
      <c r="K56" s="291">
        <f t="shared" si="0"/>
        <v>4177.2656222235482</v>
      </c>
      <c r="L56" s="291">
        <f t="shared" si="1"/>
        <v>5.2181026163093955</v>
      </c>
      <c r="M56" s="291">
        <f t="shared" si="2"/>
        <v>4172.0475196072384</v>
      </c>
      <c r="N56" s="295">
        <f t="shared" si="3"/>
        <v>58445.183876105511</v>
      </c>
    </row>
    <row r="57" spans="2:14" x14ac:dyDescent="0.45">
      <c r="B57" s="294"/>
      <c r="C57" s="291"/>
      <c r="D57" s="291"/>
      <c r="E57" s="291"/>
      <c r="F57" s="291"/>
      <c r="G57" s="295"/>
      <c r="I57" s="294">
        <f t="shared" si="4"/>
        <v>46692</v>
      </c>
      <c r="J57" s="291">
        <f t="shared" si="5"/>
        <v>58445.183876105511</v>
      </c>
      <c r="K57" s="291">
        <f t="shared" si="0"/>
        <v>4177.2656222235482</v>
      </c>
      <c r="L57" s="291">
        <f t="shared" si="1"/>
        <v>4.8704319896754589</v>
      </c>
      <c r="M57" s="291">
        <f t="shared" si="2"/>
        <v>4172.3951902338731</v>
      </c>
      <c r="N57" s="295">
        <f t="shared" si="3"/>
        <v>54272.788685871637</v>
      </c>
    </row>
    <row r="58" spans="2:14" x14ac:dyDescent="0.45">
      <c r="B58" s="294"/>
      <c r="C58" s="291"/>
      <c r="D58" s="291"/>
      <c r="E58" s="291"/>
      <c r="F58" s="291"/>
      <c r="G58" s="295"/>
      <c r="I58" s="294">
        <f t="shared" si="4"/>
        <v>46722</v>
      </c>
      <c r="J58" s="291">
        <f t="shared" si="5"/>
        <v>54272.788685871637</v>
      </c>
      <c r="K58" s="291">
        <f t="shared" si="0"/>
        <v>4177.2656222235482</v>
      </c>
      <c r="L58" s="291">
        <f t="shared" si="1"/>
        <v>4.5227323904893035</v>
      </c>
      <c r="M58" s="291">
        <f t="shared" si="2"/>
        <v>4172.7428898330591</v>
      </c>
      <c r="N58" s="295">
        <f t="shared" si="3"/>
        <v>50100.045796038576</v>
      </c>
    </row>
    <row r="59" spans="2:14" x14ac:dyDescent="0.45">
      <c r="B59" s="294"/>
      <c r="C59" s="291"/>
      <c r="D59" s="291"/>
      <c r="E59" s="291"/>
      <c r="F59" s="291"/>
      <c r="G59" s="295"/>
      <c r="I59" s="294">
        <f t="shared" si="4"/>
        <v>46753</v>
      </c>
      <c r="J59" s="291">
        <f t="shared" si="5"/>
        <v>50100.045796038576</v>
      </c>
      <c r="K59" s="291">
        <f t="shared" si="0"/>
        <v>4177.2656222235482</v>
      </c>
      <c r="L59" s="291">
        <f t="shared" si="1"/>
        <v>4.1750038163365479</v>
      </c>
      <c r="M59" s="291">
        <f t="shared" si="2"/>
        <v>4173.0906184072119</v>
      </c>
      <c r="N59" s="295">
        <f t="shared" si="3"/>
        <v>45926.95517763136</v>
      </c>
    </row>
    <row r="60" spans="2:14" x14ac:dyDescent="0.45">
      <c r="B60" s="294"/>
      <c r="C60" s="291"/>
      <c r="D60" s="291"/>
      <c r="E60" s="291"/>
      <c r="F60" s="291"/>
      <c r="G60" s="295"/>
      <c r="I60" s="294">
        <f t="shared" si="4"/>
        <v>46784</v>
      </c>
      <c r="J60" s="291">
        <f t="shared" si="5"/>
        <v>45926.95517763136</v>
      </c>
      <c r="K60" s="291">
        <f t="shared" si="0"/>
        <v>4177.2656222235482</v>
      </c>
      <c r="L60" s="291">
        <f t="shared" si="1"/>
        <v>3.8272462648026138</v>
      </c>
      <c r="M60" s="291">
        <f t="shared" si="2"/>
        <v>4173.4383759587454</v>
      </c>
      <c r="N60" s="295">
        <f t="shared" si="3"/>
        <v>41753.516801672617</v>
      </c>
    </row>
    <row r="61" spans="2:14" x14ac:dyDescent="0.45">
      <c r="B61" s="294"/>
      <c r="C61" s="291"/>
      <c r="D61" s="291"/>
      <c r="E61" s="291"/>
      <c r="F61" s="291"/>
      <c r="G61" s="295"/>
      <c r="I61" s="294">
        <f t="shared" si="4"/>
        <v>46813</v>
      </c>
      <c r="J61" s="291">
        <f t="shared" si="5"/>
        <v>41753.516801672617</v>
      </c>
      <c r="K61" s="291">
        <f t="shared" si="0"/>
        <v>4177.2656222235482</v>
      </c>
      <c r="L61" s="291">
        <f t="shared" si="1"/>
        <v>3.479459733472718</v>
      </c>
      <c r="M61" s="291">
        <f t="shared" si="2"/>
        <v>4173.7861624900752</v>
      </c>
      <c r="N61" s="295">
        <f t="shared" si="3"/>
        <v>37579.73063918254</v>
      </c>
    </row>
    <row r="62" spans="2:14" x14ac:dyDescent="0.45">
      <c r="B62" s="294"/>
      <c r="C62" s="291"/>
      <c r="D62" s="291"/>
      <c r="E62" s="291"/>
      <c r="F62" s="291"/>
      <c r="G62" s="295"/>
      <c r="I62" s="294">
        <f t="shared" si="4"/>
        <v>46844</v>
      </c>
      <c r="J62" s="291">
        <f t="shared" si="5"/>
        <v>37579.73063918254</v>
      </c>
      <c r="K62" s="291">
        <f t="shared" si="0"/>
        <v>4177.2656222235482</v>
      </c>
      <c r="L62" s="291">
        <f t="shared" si="1"/>
        <v>3.1316442199318786</v>
      </c>
      <c r="M62" s="291">
        <f t="shared" si="2"/>
        <v>4174.133978003616</v>
      </c>
      <c r="N62" s="295">
        <f t="shared" si="3"/>
        <v>33405.596661178926</v>
      </c>
    </row>
    <row r="63" spans="2:14" x14ac:dyDescent="0.45">
      <c r="B63" s="294"/>
      <c r="C63" s="291"/>
      <c r="D63" s="291"/>
      <c r="E63" s="291"/>
      <c r="F63" s="291"/>
      <c r="G63" s="295"/>
      <c r="I63" s="294">
        <f t="shared" si="4"/>
        <v>46874</v>
      </c>
      <c r="J63" s="291">
        <f t="shared" si="5"/>
        <v>33405.596661178926</v>
      </c>
      <c r="K63" s="291">
        <f t="shared" si="0"/>
        <v>4177.2656222235482</v>
      </c>
      <c r="L63" s="291">
        <f t="shared" si="1"/>
        <v>2.7837997217649106</v>
      </c>
      <c r="M63" s="291">
        <f t="shared" si="2"/>
        <v>4174.4818225017834</v>
      </c>
      <c r="N63" s="295">
        <f t="shared" si="3"/>
        <v>29231.114838677142</v>
      </c>
    </row>
    <row r="64" spans="2:14" x14ac:dyDescent="0.45">
      <c r="B64" s="294"/>
      <c r="C64" s="291"/>
      <c r="D64" s="291"/>
      <c r="E64" s="291"/>
      <c r="F64" s="291"/>
      <c r="G64" s="295"/>
      <c r="I64" s="294">
        <f t="shared" si="4"/>
        <v>46905</v>
      </c>
      <c r="J64" s="291">
        <f t="shared" si="5"/>
        <v>29231.114838677142</v>
      </c>
      <c r="K64" s="291">
        <f t="shared" si="0"/>
        <v>4177.2656222235482</v>
      </c>
      <c r="L64" s="291">
        <f t="shared" si="1"/>
        <v>2.4359262365564285</v>
      </c>
      <c r="M64" s="291">
        <f t="shared" si="2"/>
        <v>4174.8296959869922</v>
      </c>
      <c r="N64" s="295">
        <f t="shared" si="3"/>
        <v>25056.285142690151</v>
      </c>
    </row>
    <row r="65" spans="2:14" x14ac:dyDescent="0.45">
      <c r="B65" s="294"/>
      <c r="C65" s="291"/>
      <c r="D65" s="291"/>
      <c r="E65" s="291"/>
      <c r="F65" s="291"/>
      <c r="G65" s="295"/>
      <c r="I65" s="294">
        <f t="shared" si="4"/>
        <v>46935</v>
      </c>
      <c r="J65" s="291">
        <f t="shared" si="5"/>
        <v>25056.285142690151</v>
      </c>
      <c r="K65" s="291">
        <f t="shared" si="0"/>
        <v>4177.2656222235482</v>
      </c>
      <c r="L65" s="291">
        <f t="shared" si="1"/>
        <v>2.0880237618908457</v>
      </c>
      <c r="M65" s="291">
        <f t="shared" si="2"/>
        <v>4175.177598461657</v>
      </c>
      <c r="N65" s="295">
        <f t="shared" si="3"/>
        <v>20881.107544228493</v>
      </c>
    </row>
    <row r="66" spans="2:14" x14ac:dyDescent="0.45">
      <c r="B66" s="294"/>
      <c r="C66" s="291"/>
      <c r="D66" s="291"/>
      <c r="E66" s="291"/>
      <c r="F66" s="291"/>
      <c r="G66" s="295"/>
      <c r="I66" s="294">
        <f t="shared" si="4"/>
        <v>46966</v>
      </c>
      <c r="J66" s="291">
        <f t="shared" si="5"/>
        <v>20881.107544228493</v>
      </c>
      <c r="K66" s="291">
        <f t="shared" si="0"/>
        <v>4177.2656222235482</v>
      </c>
      <c r="L66" s="291">
        <f t="shared" si="1"/>
        <v>1.7400922953523743</v>
      </c>
      <c r="M66" s="291">
        <f t="shared" si="2"/>
        <v>4175.5255299281962</v>
      </c>
      <c r="N66" s="295">
        <f t="shared" si="3"/>
        <v>16705.582014300297</v>
      </c>
    </row>
    <row r="67" spans="2:14" x14ac:dyDescent="0.45">
      <c r="B67" s="294"/>
      <c r="C67" s="291"/>
      <c r="D67" s="291"/>
      <c r="E67" s="291"/>
      <c r="F67" s="291"/>
      <c r="G67" s="295"/>
      <c r="I67" s="294">
        <f t="shared" si="4"/>
        <v>46997</v>
      </c>
      <c r="J67" s="291">
        <f t="shared" si="5"/>
        <v>16705.582014300297</v>
      </c>
      <c r="K67" s="291">
        <f t="shared" si="0"/>
        <v>4177.2656222235482</v>
      </c>
      <c r="L67" s="291">
        <f t="shared" si="1"/>
        <v>1.3921318345250249</v>
      </c>
      <c r="M67" s="291">
        <f t="shared" si="2"/>
        <v>4175.8734903890236</v>
      </c>
      <c r="N67" s="295">
        <f t="shared" si="3"/>
        <v>12529.708523911273</v>
      </c>
    </row>
    <row r="68" spans="2:14" x14ac:dyDescent="0.45">
      <c r="B68" s="294"/>
      <c r="C68" s="291"/>
      <c r="D68" s="291"/>
      <c r="E68" s="291"/>
      <c r="F68" s="291"/>
      <c r="G68" s="295"/>
      <c r="I68" s="294">
        <f t="shared" si="4"/>
        <v>47027</v>
      </c>
      <c r="J68" s="291">
        <f t="shared" si="5"/>
        <v>12529.708523911273</v>
      </c>
      <c r="K68" s="291">
        <f t="shared" si="0"/>
        <v>4177.2656222235482</v>
      </c>
      <c r="L68" s="291">
        <f t="shared" si="1"/>
        <v>1.0441423769926061</v>
      </c>
      <c r="M68" s="291">
        <f t="shared" si="2"/>
        <v>4176.2214798465557</v>
      </c>
      <c r="N68" s="295">
        <f t="shared" si="3"/>
        <v>8353.4870440647173</v>
      </c>
    </row>
    <row r="69" spans="2:14" x14ac:dyDescent="0.45">
      <c r="B69" s="294"/>
      <c r="C69" s="291"/>
      <c r="D69" s="291"/>
      <c r="E69" s="291"/>
      <c r="F69" s="291"/>
      <c r="G69" s="295"/>
      <c r="I69" s="294">
        <f t="shared" si="4"/>
        <v>47058</v>
      </c>
      <c r="J69" s="291">
        <f t="shared" si="5"/>
        <v>8353.4870440647173</v>
      </c>
      <c r="K69" s="291">
        <f t="shared" si="0"/>
        <v>4177.2656222235482</v>
      </c>
      <c r="L69" s="291">
        <f t="shared" si="1"/>
        <v>0.6961239203387265</v>
      </c>
      <c r="M69" s="291">
        <f t="shared" si="2"/>
        <v>4176.5694983032099</v>
      </c>
      <c r="N69" s="295">
        <f t="shared" si="3"/>
        <v>4176.9175457615074</v>
      </c>
    </row>
    <row r="70" spans="2:14" x14ac:dyDescent="0.45">
      <c r="B70" s="294"/>
      <c r="C70" s="291"/>
      <c r="D70" s="291"/>
      <c r="E70" s="291"/>
      <c r="F70" s="291"/>
      <c r="G70" s="295"/>
      <c r="I70" s="294">
        <f t="shared" si="4"/>
        <v>47088</v>
      </c>
      <c r="J70" s="291">
        <f t="shared" si="5"/>
        <v>4176.9175457615074</v>
      </c>
      <c r="K70" s="291">
        <f t="shared" si="0"/>
        <v>4177.2656222235482</v>
      </c>
      <c r="L70" s="291">
        <f t="shared" si="1"/>
        <v>0.34807646214679228</v>
      </c>
      <c r="M70" s="291">
        <f t="shared" si="2"/>
        <v>4176.917545761401</v>
      </c>
      <c r="N70" s="295">
        <f t="shared" si="3"/>
        <v>1.064108801074326E-10</v>
      </c>
    </row>
    <row r="71" spans="2:14" x14ac:dyDescent="0.45">
      <c r="B71" s="294"/>
      <c r="C71" s="291"/>
      <c r="D71" s="291"/>
      <c r="E71" s="291"/>
      <c r="F71" s="291"/>
      <c r="G71" s="295"/>
      <c r="I71" s="294">
        <f t="shared" si="4"/>
        <v>47119</v>
      </c>
      <c r="J71" s="291">
        <f t="shared" si="5"/>
        <v>1.064108801074326E-10</v>
      </c>
      <c r="K71" s="291">
        <f t="shared" si="0"/>
        <v>0</v>
      </c>
      <c r="L71" s="291">
        <f t="shared" si="1"/>
        <v>0</v>
      </c>
      <c r="M71" s="291">
        <f t="shared" si="2"/>
        <v>0</v>
      </c>
      <c r="N71" s="295">
        <f t="shared" si="3"/>
        <v>1.064108801074326E-10</v>
      </c>
    </row>
    <row r="72" spans="2:14" x14ac:dyDescent="0.45">
      <c r="B72" s="294"/>
      <c r="C72" s="291"/>
      <c r="D72" s="291"/>
      <c r="E72" s="291"/>
      <c r="F72" s="291"/>
      <c r="G72" s="295"/>
      <c r="I72" s="294">
        <f t="shared" si="4"/>
        <v>47150</v>
      </c>
      <c r="J72" s="291">
        <f t="shared" si="5"/>
        <v>1.064108801074326E-10</v>
      </c>
      <c r="K72" s="291">
        <f t="shared" si="0"/>
        <v>0</v>
      </c>
      <c r="L72" s="291">
        <f t="shared" si="1"/>
        <v>0</v>
      </c>
      <c r="M72" s="291">
        <f t="shared" si="2"/>
        <v>0</v>
      </c>
      <c r="N72" s="295">
        <f t="shared" si="3"/>
        <v>1.064108801074326E-10</v>
      </c>
    </row>
    <row r="73" spans="2:14" x14ac:dyDescent="0.45">
      <c r="B73" s="294"/>
      <c r="C73" s="291"/>
      <c r="D73" s="291"/>
      <c r="E73" s="291"/>
      <c r="F73" s="291"/>
      <c r="G73" s="295"/>
      <c r="I73" s="294">
        <f t="shared" si="4"/>
        <v>47178</v>
      </c>
      <c r="J73" s="291">
        <f t="shared" si="5"/>
        <v>1.064108801074326E-10</v>
      </c>
      <c r="K73" s="291">
        <f t="shared" si="0"/>
        <v>0</v>
      </c>
      <c r="L73" s="291">
        <f t="shared" si="1"/>
        <v>0</v>
      </c>
      <c r="M73" s="291">
        <f t="shared" si="2"/>
        <v>0</v>
      </c>
      <c r="N73" s="295">
        <f t="shared" si="3"/>
        <v>1.064108801074326E-10</v>
      </c>
    </row>
    <row r="74" spans="2:14" x14ac:dyDescent="0.45">
      <c r="B74" s="294"/>
      <c r="C74" s="291"/>
      <c r="D74" s="291"/>
      <c r="E74" s="291"/>
      <c r="F74" s="291"/>
      <c r="G74" s="295"/>
      <c r="I74" s="294">
        <f t="shared" si="4"/>
        <v>47209</v>
      </c>
      <c r="J74" s="291">
        <f t="shared" si="5"/>
        <v>1.064108801074326E-10</v>
      </c>
      <c r="K74" s="291">
        <f t="shared" si="0"/>
        <v>0</v>
      </c>
      <c r="L74" s="291">
        <f t="shared" si="1"/>
        <v>0</v>
      </c>
      <c r="M74" s="291">
        <f t="shared" si="2"/>
        <v>0</v>
      </c>
      <c r="N74" s="295">
        <f t="shared" si="3"/>
        <v>1.064108801074326E-10</v>
      </c>
    </row>
    <row r="75" spans="2:14" x14ac:dyDescent="0.45">
      <c r="B75" s="294"/>
      <c r="C75" s="291"/>
      <c r="D75" s="291"/>
      <c r="E75" s="291"/>
      <c r="F75" s="291"/>
      <c r="G75" s="295"/>
      <c r="I75" s="294">
        <f t="shared" si="4"/>
        <v>47239</v>
      </c>
      <c r="J75" s="291">
        <f t="shared" si="5"/>
        <v>1.064108801074326E-10</v>
      </c>
      <c r="K75" s="291">
        <f t="shared" si="0"/>
        <v>0</v>
      </c>
      <c r="L75" s="291">
        <f t="shared" si="1"/>
        <v>0</v>
      </c>
      <c r="M75" s="291">
        <f t="shared" si="2"/>
        <v>0</v>
      </c>
      <c r="N75" s="295">
        <f t="shared" si="3"/>
        <v>1.064108801074326E-10</v>
      </c>
    </row>
    <row r="76" spans="2:14" x14ac:dyDescent="0.45">
      <c r="B76" s="294"/>
      <c r="C76" s="291"/>
      <c r="D76" s="291"/>
      <c r="E76" s="291"/>
      <c r="F76" s="291"/>
      <c r="G76" s="295"/>
      <c r="I76" s="294">
        <f t="shared" si="4"/>
        <v>47270</v>
      </c>
      <c r="J76" s="291">
        <f t="shared" si="5"/>
        <v>1.064108801074326E-10</v>
      </c>
      <c r="K76" s="291">
        <f t="shared" ref="K76:K139" si="6">IF(ROUNDDOWN(J76,0)=0,0,PMT($L$4/12,$L$7,-$L$8)+$L$5)</f>
        <v>0</v>
      </c>
      <c r="L76" s="291">
        <f t="shared" ref="L76:L139" si="7">IF(ROUNDDOWN(J76,0)=0,0,(J76*$L$4/12)+$L$5)</f>
        <v>0</v>
      </c>
      <c r="M76" s="291">
        <f t="shared" ref="M76:M139" si="8">K76-L76</f>
        <v>0</v>
      </c>
      <c r="N76" s="295">
        <f t="shared" ref="N76:N139" si="9">J76-M76</f>
        <v>1.064108801074326E-10</v>
      </c>
    </row>
    <row r="77" spans="2:14" x14ac:dyDescent="0.45">
      <c r="B77" s="294"/>
      <c r="C77" s="291"/>
      <c r="D77" s="291"/>
      <c r="E77" s="291"/>
      <c r="F77" s="291"/>
      <c r="G77" s="295"/>
      <c r="I77" s="294">
        <f t="shared" ref="I77:I140" si="10">EDATE(I76,1)</f>
        <v>47300</v>
      </c>
      <c r="J77" s="291">
        <f t="shared" ref="J77:J140" si="11">N76</f>
        <v>1.064108801074326E-10</v>
      </c>
      <c r="K77" s="291">
        <f t="shared" si="6"/>
        <v>0</v>
      </c>
      <c r="L77" s="291">
        <f t="shared" si="7"/>
        <v>0</v>
      </c>
      <c r="M77" s="291">
        <f t="shared" si="8"/>
        <v>0</v>
      </c>
      <c r="N77" s="295">
        <f t="shared" si="9"/>
        <v>1.064108801074326E-10</v>
      </c>
    </row>
    <row r="78" spans="2:14" x14ac:dyDescent="0.45">
      <c r="B78" s="294"/>
      <c r="C78" s="291"/>
      <c r="D78" s="291"/>
      <c r="E78" s="291"/>
      <c r="F78" s="291"/>
      <c r="G78" s="295"/>
      <c r="I78" s="294">
        <f t="shared" si="10"/>
        <v>47331</v>
      </c>
      <c r="J78" s="291">
        <f t="shared" si="11"/>
        <v>1.064108801074326E-10</v>
      </c>
      <c r="K78" s="291">
        <f t="shared" si="6"/>
        <v>0</v>
      </c>
      <c r="L78" s="291">
        <f t="shared" si="7"/>
        <v>0</v>
      </c>
      <c r="M78" s="291">
        <f t="shared" si="8"/>
        <v>0</v>
      </c>
      <c r="N78" s="295">
        <f t="shared" si="9"/>
        <v>1.064108801074326E-10</v>
      </c>
    </row>
    <row r="79" spans="2:14" x14ac:dyDescent="0.45">
      <c r="B79" s="294"/>
      <c r="C79" s="291"/>
      <c r="D79" s="291"/>
      <c r="E79" s="291"/>
      <c r="F79" s="291"/>
      <c r="G79" s="295"/>
      <c r="I79" s="294">
        <f t="shared" si="10"/>
        <v>47362</v>
      </c>
      <c r="J79" s="291">
        <f t="shared" si="11"/>
        <v>1.064108801074326E-10</v>
      </c>
      <c r="K79" s="291">
        <f t="shared" si="6"/>
        <v>0</v>
      </c>
      <c r="L79" s="291">
        <f t="shared" si="7"/>
        <v>0</v>
      </c>
      <c r="M79" s="291">
        <f t="shared" si="8"/>
        <v>0</v>
      </c>
      <c r="N79" s="295">
        <f t="shared" si="9"/>
        <v>1.064108801074326E-10</v>
      </c>
    </row>
    <row r="80" spans="2:14" x14ac:dyDescent="0.45">
      <c r="B80" s="294"/>
      <c r="C80" s="291"/>
      <c r="D80" s="291"/>
      <c r="E80" s="291"/>
      <c r="F80" s="291"/>
      <c r="G80" s="295"/>
      <c r="I80" s="294">
        <f t="shared" si="10"/>
        <v>47392</v>
      </c>
      <c r="J80" s="291">
        <f t="shared" si="11"/>
        <v>1.064108801074326E-10</v>
      </c>
      <c r="K80" s="291">
        <f t="shared" si="6"/>
        <v>0</v>
      </c>
      <c r="L80" s="291">
        <f t="shared" si="7"/>
        <v>0</v>
      </c>
      <c r="M80" s="291">
        <f t="shared" si="8"/>
        <v>0</v>
      </c>
      <c r="N80" s="295">
        <f t="shared" si="9"/>
        <v>1.064108801074326E-10</v>
      </c>
    </row>
    <row r="81" spans="2:14" x14ac:dyDescent="0.45">
      <c r="B81" s="294"/>
      <c r="C81" s="291"/>
      <c r="D81" s="291"/>
      <c r="E81" s="291"/>
      <c r="F81" s="291"/>
      <c r="G81" s="295"/>
      <c r="I81" s="294">
        <f t="shared" si="10"/>
        <v>47423</v>
      </c>
      <c r="J81" s="291">
        <f t="shared" si="11"/>
        <v>1.064108801074326E-10</v>
      </c>
      <c r="K81" s="291">
        <f t="shared" si="6"/>
        <v>0</v>
      </c>
      <c r="L81" s="291">
        <f t="shared" si="7"/>
        <v>0</v>
      </c>
      <c r="M81" s="291">
        <f t="shared" si="8"/>
        <v>0</v>
      </c>
      <c r="N81" s="295">
        <f t="shared" si="9"/>
        <v>1.064108801074326E-10</v>
      </c>
    </row>
    <row r="82" spans="2:14" x14ac:dyDescent="0.45">
      <c r="B82" s="294"/>
      <c r="C82" s="291"/>
      <c r="D82" s="291"/>
      <c r="E82" s="291"/>
      <c r="F82" s="291"/>
      <c r="G82" s="295"/>
      <c r="I82" s="294">
        <f t="shared" si="10"/>
        <v>47453</v>
      </c>
      <c r="J82" s="291">
        <f t="shared" si="11"/>
        <v>1.064108801074326E-10</v>
      </c>
      <c r="K82" s="291">
        <f t="shared" si="6"/>
        <v>0</v>
      </c>
      <c r="L82" s="291">
        <f t="shared" si="7"/>
        <v>0</v>
      </c>
      <c r="M82" s="291">
        <f t="shared" si="8"/>
        <v>0</v>
      </c>
      <c r="N82" s="295">
        <f t="shared" si="9"/>
        <v>1.064108801074326E-10</v>
      </c>
    </row>
    <row r="83" spans="2:14" x14ac:dyDescent="0.45">
      <c r="B83" s="294"/>
      <c r="C83" s="291"/>
      <c r="D83" s="291"/>
      <c r="E83" s="291"/>
      <c r="F83" s="291"/>
      <c r="G83" s="295"/>
      <c r="I83" s="294">
        <f t="shared" si="10"/>
        <v>47484</v>
      </c>
      <c r="J83" s="291">
        <f t="shared" si="11"/>
        <v>1.064108801074326E-10</v>
      </c>
      <c r="K83" s="291">
        <f t="shared" si="6"/>
        <v>0</v>
      </c>
      <c r="L83" s="291">
        <f t="shared" si="7"/>
        <v>0</v>
      </c>
      <c r="M83" s="291">
        <f t="shared" si="8"/>
        <v>0</v>
      </c>
      <c r="N83" s="295">
        <f t="shared" si="9"/>
        <v>1.064108801074326E-10</v>
      </c>
    </row>
    <row r="84" spans="2:14" x14ac:dyDescent="0.45">
      <c r="B84" s="294"/>
      <c r="C84" s="291"/>
      <c r="D84" s="291"/>
      <c r="E84" s="291"/>
      <c r="F84" s="291"/>
      <c r="G84" s="295"/>
      <c r="I84" s="294">
        <f t="shared" si="10"/>
        <v>47515</v>
      </c>
      <c r="J84" s="291">
        <f t="shared" si="11"/>
        <v>1.064108801074326E-10</v>
      </c>
      <c r="K84" s="291">
        <f t="shared" si="6"/>
        <v>0</v>
      </c>
      <c r="L84" s="291">
        <f t="shared" si="7"/>
        <v>0</v>
      </c>
      <c r="M84" s="291">
        <f t="shared" si="8"/>
        <v>0</v>
      </c>
      <c r="N84" s="295">
        <f t="shared" si="9"/>
        <v>1.064108801074326E-10</v>
      </c>
    </row>
    <row r="85" spans="2:14" x14ac:dyDescent="0.45">
      <c r="B85" s="294"/>
      <c r="C85" s="291"/>
      <c r="D85" s="291"/>
      <c r="E85" s="291"/>
      <c r="F85" s="291"/>
      <c r="G85" s="295"/>
      <c r="I85" s="294">
        <f t="shared" si="10"/>
        <v>47543</v>
      </c>
      <c r="J85" s="291">
        <f t="shared" si="11"/>
        <v>1.064108801074326E-10</v>
      </c>
      <c r="K85" s="291">
        <f t="shared" si="6"/>
        <v>0</v>
      </c>
      <c r="L85" s="291">
        <f t="shared" si="7"/>
        <v>0</v>
      </c>
      <c r="M85" s="291">
        <f t="shared" si="8"/>
        <v>0</v>
      </c>
      <c r="N85" s="295">
        <f t="shared" si="9"/>
        <v>1.064108801074326E-10</v>
      </c>
    </row>
    <row r="86" spans="2:14" x14ac:dyDescent="0.45">
      <c r="B86" s="294"/>
      <c r="C86" s="291"/>
      <c r="D86" s="291"/>
      <c r="E86" s="291"/>
      <c r="F86" s="291"/>
      <c r="G86" s="295"/>
      <c r="I86" s="294">
        <f t="shared" si="10"/>
        <v>47574</v>
      </c>
      <c r="J86" s="291">
        <f t="shared" si="11"/>
        <v>1.064108801074326E-10</v>
      </c>
      <c r="K86" s="291">
        <f t="shared" si="6"/>
        <v>0</v>
      </c>
      <c r="L86" s="291">
        <f t="shared" si="7"/>
        <v>0</v>
      </c>
      <c r="M86" s="291">
        <f t="shared" si="8"/>
        <v>0</v>
      </c>
      <c r="N86" s="295">
        <f t="shared" si="9"/>
        <v>1.064108801074326E-10</v>
      </c>
    </row>
    <row r="87" spans="2:14" x14ac:dyDescent="0.45">
      <c r="B87" s="294"/>
      <c r="C87" s="291"/>
      <c r="D87" s="291"/>
      <c r="E87" s="291"/>
      <c r="F87" s="291"/>
      <c r="G87" s="295"/>
      <c r="I87" s="294">
        <f t="shared" si="10"/>
        <v>47604</v>
      </c>
      <c r="J87" s="291">
        <f t="shared" si="11"/>
        <v>1.064108801074326E-10</v>
      </c>
      <c r="K87" s="291">
        <f t="shared" si="6"/>
        <v>0</v>
      </c>
      <c r="L87" s="291">
        <f t="shared" si="7"/>
        <v>0</v>
      </c>
      <c r="M87" s="291">
        <f t="shared" si="8"/>
        <v>0</v>
      </c>
      <c r="N87" s="295">
        <f t="shared" si="9"/>
        <v>1.064108801074326E-10</v>
      </c>
    </row>
    <row r="88" spans="2:14" x14ac:dyDescent="0.45">
      <c r="B88" s="294"/>
      <c r="C88" s="291"/>
      <c r="D88" s="291"/>
      <c r="E88" s="291"/>
      <c r="F88" s="291"/>
      <c r="G88" s="295"/>
      <c r="I88" s="294">
        <f t="shared" si="10"/>
        <v>47635</v>
      </c>
      <c r="J88" s="291">
        <f t="shared" si="11"/>
        <v>1.064108801074326E-10</v>
      </c>
      <c r="K88" s="291">
        <f t="shared" si="6"/>
        <v>0</v>
      </c>
      <c r="L88" s="291">
        <f t="shared" si="7"/>
        <v>0</v>
      </c>
      <c r="M88" s="291">
        <f t="shared" si="8"/>
        <v>0</v>
      </c>
      <c r="N88" s="295">
        <f t="shared" si="9"/>
        <v>1.064108801074326E-10</v>
      </c>
    </row>
    <row r="89" spans="2:14" x14ac:dyDescent="0.45">
      <c r="B89" s="294"/>
      <c r="C89" s="291"/>
      <c r="D89" s="291"/>
      <c r="E89" s="291"/>
      <c r="F89" s="291"/>
      <c r="G89" s="295"/>
      <c r="I89" s="294">
        <f t="shared" si="10"/>
        <v>47665</v>
      </c>
      <c r="J89" s="291">
        <f t="shared" si="11"/>
        <v>1.064108801074326E-10</v>
      </c>
      <c r="K89" s="291">
        <f t="shared" si="6"/>
        <v>0</v>
      </c>
      <c r="L89" s="291">
        <f t="shared" si="7"/>
        <v>0</v>
      </c>
      <c r="M89" s="291">
        <f t="shared" si="8"/>
        <v>0</v>
      </c>
      <c r="N89" s="295">
        <f t="shared" si="9"/>
        <v>1.064108801074326E-10</v>
      </c>
    </row>
    <row r="90" spans="2:14" x14ac:dyDescent="0.45">
      <c r="B90" s="294"/>
      <c r="C90" s="291"/>
      <c r="D90" s="291"/>
      <c r="E90" s="291"/>
      <c r="F90" s="291"/>
      <c r="G90" s="295"/>
      <c r="I90" s="294">
        <f t="shared" si="10"/>
        <v>47696</v>
      </c>
      <c r="J90" s="291">
        <f t="shared" si="11"/>
        <v>1.064108801074326E-10</v>
      </c>
      <c r="K90" s="291">
        <f t="shared" si="6"/>
        <v>0</v>
      </c>
      <c r="L90" s="291">
        <f t="shared" si="7"/>
        <v>0</v>
      </c>
      <c r="M90" s="291">
        <f t="shared" si="8"/>
        <v>0</v>
      </c>
      <c r="N90" s="295">
        <f t="shared" si="9"/>
        <v>1.064108801074326E-10</v>
      </c>
    </row>
    <row r="91" spans="2:14" x14ac:dyDescent="0.45">
      <c r="B91" s="294"/>
      <c r="C91" s="291"/>
      <c r="D91" s="291"/>
      <c r="E91" s="291"/>
      <c r="F91" s="291"/>
      <c r="G91" s="295"/>
      <c r="I91" s="294">
        <f t="shared" si="10"/>
        <v>47727</v>
      </c>
      <c r="J91" s="291">
        <f t="shared" si="11"/>
        <v>1.064108801074326E-10</v>
      </c>
      <c r="K91" s="291">
        <f t="shared" si="6"/>
        <v>0</v>
      </c>
      <c r="L91" s="291">
        <f t="shared" si="7"/>
        <v>0</v>
      </c>
      <c r="M91" s="291">
        <f t="shared" si="8"/>
        <v>0</v>
      </c>
      <c r="N91" s="295">
        <f t="shared" si="9"/>
        <v>1.064108801074326E-10</v>
      </c>
    </row>
    <row r="92" spans="2:14" x14ac:dyDescent="0.45">
      <c r="B92" s="294"/>
      <c r="C92" s="291"/>
      <c r="D92" s="291"/>
      <c r="E92" s="291"/>
      <c r="F92" s="291"/>
      <c r="G92" s="295"/>
      <c r="I92" s="294">
        <f t="shared" si="10"/>
        <v>47757</v>
      </c>
      <c r="J92" s="291">
        <f t="shared" si="11"/>
        <v>1.064108801074326E-10</v>
      </c>
      <c r="K92" s="291">
        <f t="shared" si="6"/>
        <v>0</v>
      </c>
      <c r="L92" s="291">
        <f t="shared" si="7"/>
        <v>0</v>
      </c>
      <c r="M92" s="291">
        <f t="shared" si="8"/>
        <v>0</v>
      </c>
      <c r="N92" s="295">
        <f t="shared" si="9"/>
        <v>1.064108801074326E-10</v>
      </c>
    </row>
    <row r="93" spans="2:14" x14ac:dyDescent="0.45">
      <c r="B93" s="294"/>
      <c r="C93" s="291"/>
      <c r="D93" s="291"/>
      <c r="E93" s="291"/>
      <c r="F93" s="291"/>
      <c r="G93" s="295"/>
      <c r="I93" s="294">
        <f t="shared" si="10"/>
        <v>47788</v>
      </c>
      <c r="J93" s="291">
        <f t="shared" si="11"/>
        <v>1.064108801074326E-10</v>
      </c>
      <c r="K93" s="291">
        <f t="shared" si="6"/>
        <v>0</v>
      </c>
      <c r="L93" s="291">
        <f t="shared" si="7"/>
        <v>0</v>
      </c>
      <c r="M93" s="291">
        <f t="shared" si="8"/>
        <v>0</v>
      </c>
      <c r="N93" s="295">
        <f t="shared" si="9"/>
        <v>1.064108801074326E-10</v>
      </c>
    </row>
    <row r="94" spans="2:14" x14ac:dyDescent="0.45">
      <c r="B94" s="294"/>
      <c r="C94" s="291"/>
      <c r="D94" s="291"/>
      <c r="E94" s="291"/>
      <c r="F94" s="291"/>
      <c r="G94" s="295"/>
      <c r="I94" s="294">
        <f t="shared" si="10"/>
        <v>47818</v>
      </c>
      <c r="J94" s="291">
        <f t="shared" si="11"/>
        <v>1.064108801074326E-10</v>
      </c>
      <c r="K94" s="291">
        <f t="shared" si="6"/>
        <v>0</v>
      </c>
      <c r="L94" s="291">
        <f t="shared" si="7"/>
        <v>0</v>
      </c>
      <c r="M94" s="291">
        <f t="shared" si="8"/>
        <v>0</v>
      </c>
      <c r="N94" s="295">
        <f t="shared" si="9"/>
        <v>1.064108801074326E-10</v>
      </c>
    </row>
    <row r="95" spans="2:14" x14ac:dyDescent="0.45">
      <c r="B95" s="294"/>
      <c r="C95" s="291"/>
      <c r="D95" s="291"/>
      <c r="E95" s="291"/>
      <c r="F95" s="291"/>
      <c r="G95" s="295"/>
      <c r="I95" s="294">
        <f t="shared" si="10"/>
        <v>47849</v>
      </c>
      <c r="J95" s="291">
        <f t="shared" si="11"/>
        <v>1.064108801074326E-10</v>
      </c>
      <c r="K95" s="291">
        <f t="shared" si="6"/>
        <v>0</v>
      </c>
      <c r="L95" s="291">
        <f t="shared" si="7"/>
        <v>0</v>
      </c>
      <c r="M95" s="291">
        <f t="shared" si="8"/>
        <v>0</v>
      </c>
      <c r="N95" s="295">
        <f t="shared" si="9"/>
        <v>1.064108801074326E-10</v>
      </c>
    </row>
    <row r="96" spans="2:14" x14ac:dyDescent="0.45">
      <c r="B96" s="294"/>
      <c r="C96" s="291"/>
      <c r="D96" s="291"/>
      <c r="E96" s="291"/>
      <c r="F96" s="291"/>
      <c r="G96" s="295"/>
      <c r="I96" s="294">
        <f t="shared" si="10"/>
        <v>47880</v>
      </c>
      <c r="J96" s="291">
        <f t="shared" si="11"/>
        <v>1.064108801074326E-10</v>
      </c>
      <c r="K96" s="291">
        <f t="shared" si="6"/>
        <v>0</v>
      </c>
      <c r="L96" s="291">
        <f t="shared" si="7"/>
        <v>0</v>
      </c>
      <c r="M96" s="291">
        <f t="shared" si="8"/>
        <v>0</v>
      </c>
      <c r="N96" s="295">
        <f t="shared" si="9"/>
        <v>1.064108801074326E-10</v>
      </c>
    </row>
    <row r="97" spans="2:14" x14ac:dyDescent="0.45">
      <c r="B97" s="294"/>
      <c r="C97" s="291"/>
      <c r="D97" s="291"/>
      <c r="E97" s="291"/>
      <c r="F97" s="291"/>
      <c r="G97" s="295"/>
      <c r="I97" s="294">
        <f t="shared" si="10"/>
        <v>47908</v>
      </c>
      <c r="J97" s="291">
        <f t="shared" si="11"/>
        <v>1.064108801074326E-10</v>
      </c>
      <c r="K97" s="291">
        <f t="shared" si="6"/>
        <v>0</v>
      </c>
      <c r="L97" s="291">
        <f t="shared" si="7"/>
        <v>0</v>
      </c>
      <c r="M97" s="291">
        <f t="shared" si="8"/>
        <v>0</v>
      </c>
      <c r="N97" s="295">
        <f t="shared" si="9"/>
        <v>1.064108801074326E-10</v>
      </c>
    </row>
    <row r="98" spans="2:14" x14ac:dyDescent="0.45">
      <c r="B98" s="294"/>
      <c r="C98" s="291"/>
      <c r="D98" s="291"/>
      <c r="E98" s="291"/>
      <c r="F98" s="291"/>
      <c r="G98" s="295"/>
      <c r="I98" s="294">
        <f t="shared" si="10"/>
        <v>47939</v>
      </c>
      <c r="J98" s="291">
        <f t="shared" si="11"/>
        <v>1.064108801074326E-10</v>
      </c>
      <c r="K98" s="291">
        <f t="shared" si="6"/>
        <v>0</v>
      </c>
      <c r="L98" s="291">
        <f t="shared" si="7"/>
        <v>0</v>
      </c>
      <c r="M98" s="291">
        <f t="shared" si="8"/>
        <v>0</v>
      </c>
      <c r="N98" s="295">
        <f t="shared" si="9"/>
        <v>1.064108801074326E-10</v>
      </c>
    </row>
    <row r="99" spans="2:14" x14ac:dyDescent="0.45">
      <c r="B99" s="294"/>
      <c r="C99" s="291"/>
      <c r="D99" s="291"/>
      <c r="E99" s="291"/>
      <c r="F99" s="291"/>
      <c r="G99" s="295"/>
      <c r="I99" s="294">
        <f t="shared" si="10"/>
        <v>47969</v>
      </c>
      <c r="J99" s="291">
        <f t="shared" si="11"/>
        <v>1.064108801074326E-10</v>
      </c>
      <c r="K99" s="291">
        <f t="shared" si="6"/>
        <v>0</v>
      </c>
      <c r="L99" s="291">
        <f t="shared" si="7"/>
        <v>0</v>
      </c>
      <c r="M99" s="291">
        <f t="shared" si="8"/>
        <v>0</v>
      </c>
      <c r="N99" s="295">
        <f t="shared" si="9"/>
        <v>1.064108801074326E-10</v>
      </c>
    </row>
    <row r="100" spans="2:14" x14ac:dyDescent="0.45">
      <c r="B100" s="294"/>
      <c r="C100" s="291"/>
      <c r="D100" s="291"/>
      <c r="E100" s="291"/>
      <c r="F100" s="291"/>
      <c r="G100" s="295"/>
      <c r="I100" s="294">
        <f t="shared" si="10"/>
        <v>48000</v>
      </c>
      <c r="J100" s="291">
        <f t="shared" si="11"/>
        <v>1.064108801074326E-10</v>
      </c>
      <c r="K100" s="291">
        <f t="shared" si="6"/>
        <v>0</v>
      </c>
      <c r="L100" s="291">
        <f t="shared" si="7"/>
        <v>0</v>
      </c>
      <c r="M100" s="291">
        <f t="shared" si="8"/>
        <v>0</v>
      </c>
      <c r="N100" s="295">
        <f t="shared" si="9"/>
        <v>1.064108801074326E-10</v>
      </c>
    </row>
    <row r="101" spans="2:14" x14ac:dyDescent="0.45">
      <c r="B101" s="294"/>
      <c r="C101" s="291"/>
      <c r="D101" s="291"/>
      <c r="E101" s="291"/>
      <c r="F101" s="291"/>
      <c r="G101" s="295"/>
      <c r="I101" s="294">
        <f t="shared" si="10"/>
        <v>48030</v>
      </c>
      <c r="J101" s="291">
        <f t="shared" si="11"/>
        <v>1.064108801074326E-10</v>
      </c>
      <c r="K101" s="291">
        <f t="shared" si="6"/>
        <v>0</v>
      </c>
      <c r="L101" s="291">
        <f t="shared" si="7"/>
        <v>0</v>
      </c>
      <c r="M101" s="291">
        <f t="shared" si="8"/>
        <v>0</v>
      </c>
      <c r="N101" s="295">
        <f t="shared" si="9"/>
        <v>1.064108801074326E-10</v>
      </c>
    </row>
    <row r="102" spans="2:14" x14ac:dyDescent="0.45">
      <c r="B102" s="294"/>
      <c r="C102" s="291"/>
      <c r="D102" s="291"/>
      <c r="E102" s="291"/>
      <c r="F102" s="291"/>
      <c r="G102" s="295"/>
      <c r="I102" s="294">
        <f t="shared" si="10"/>
        <v>48061</v>
      </c>
      <c r="J102" s="291">
        <f t="shared" si="11"/>
        <v>1.064108801074326E-10</v>
      </c>
      <c r="K102" s="291">
        <f t="shared" si="6"/>
        <v>0</v>
      </c>
      <c r="L102" s="291">
        <f t="shared" si="7"/>
        <v>0</v>
      </c>
      <c r="M102" s="291">
        <f t="shared" si="8"/>
        <v>0</v>
      </c>
      <c r="N102" s="295">
        <f t="shared" si="9"/>
        <v>1.064108801074326E-10</v>
      </c>
    </row>
    <row r="103" spans="2:14" x14ac:dyDescent="0.45">
      <c r="B103" s="294"/>
      <c r="C103" s="291"/>
      <c r="D103" s="291"/>
      <c r="E103" s="291"/>
      <c r="F103" s="291"/>
      <c r="G103" s="295"/>
      <c r="I103" s="294">
        <f t="shared" si="10"/>
        <v>48092</v>
      </c>
      <c r="J103" s="291">
        <f t="shared" si="11"/>
        <v>1.064108801074326E-10</v>
      </c>
      <c r="K103" s="291">
        <f t="shared" si="6"/>
        <v>0</v>
      </c>
      <c r="L103" s="291">
        <f t="shared" si="7"/>
        <v>0</v>
      </c>
      <c r="M103" s="291">
        <f t="shared" si="8"/>
        <v>0</v>
      </c>
      <c r="N103" s="295">
        <f t="shared" si="9"/>
        <v>1.064108801074326E-10</v>
      </c>
    </row>
    <row r="104" spans="2:14" x14ac:dyDescent="0.45">
      <c r="B104" s="294"/>
      <c r="C104" s="291"/>
      <c r="D104" s="291"/>
      <c r="E104" s="291"/>
      <c r="F104" s="291"/>
      <c r="G104" s="295"/>
      <c r="I104" s="294">
        <f t="shared" si="10"/>
        <v>48122</v>
      </c>
      <c r="J104" s="291">
        <f t="shared" si="11"/>
        <v>1.064108801074326E-10</v>
      </c>
      <c r="K104" s="291">
        <f t="shared" si="6"/>
        <v>0</v>
      </c>
      <c r="L104" s="291">
        <f t="shared" si="7"/>
        <v>0</v>
      </c>
      <c r="M104" s="291">
        <f t="shared" si="8"/>
        <v>0</v>
      </c>
      <c r="N104" s="295">
        <f t="shared" si="9"/>
        <v>1.064108801074326E-10</v>
      </c>
    </row>
    <row r="105" spans="2:14" x14ac:dyDescent="0.45">
      <c r="B105" s="294"/>
      <c r="C105" s="291"/>
      <c r="D105" s="291"/>
      <c r="E105" s="291"/>
      <c r="F105" s="291"/>
      <c r="G105" s="295"/>
      <c r="I105" s="294">
        <f t="shared" si="10"/>
        <v>48153</v>
      </c>
      <c r="J105" s="291">
        <f t="shared" si="11"/>
        <v>1.064108801074326E-10</v>
      </c>
      <c r="K105" s="291">
        <f t="shared" si="6"/>
        <v>0</v>
      </c>
      <c r="L105" s="291">
        <f t="shared" si="7"/>
        <v>0</v>
      </c>
      <c r="M105" s="291">
        <f t="shared" si="8"/>
        <v>0</v>
      </c>
      <c r="N105" s="295">
        <f t="shared" si="9"/>
        <v>1.064108801074326E-10</v>
      </c>
    </row>
    <row r="106" spans="2:14" x14ac:dyDescent="0.45">
      <c r="B106" s="294"/>
      <c r="C106" s="291"/>
      <c r="D106" s="291"/>
      <c r="E106" s="291"/>
      <c r="F106" s="291"/>
      <c r="G106" s="295"/>
      <c r="I106" s="294">
        <f t="shared" si="10"/>
        <v>48183</v>
      </c>
      <c r="J106" s="291">
        <f t="shared" si="11"/>
        <v>1.064108801074326E-10</v>
      </c>
      <c r="K106" s="291">
        <f t="shared" si="6"/>
        <v>0</v>
      </c>
      <c r="L106" s="291">
        <f t="shared" si="7"/>
        <v>0</v>
      </c>
      <c r="M106" s="291">
        <f t="shared" si="8"/>
        <v>0</v>
      </c>
      <c r="N106" s="295">
        <f t="shared" si="9"/>
        <v>1.064108801074326E-10</v>
      </c>
    </row>
    <row r="107" spans="2:14" x14ac:dyDescent="0.45">
      <c r="B107" s="294"/>
      <c r="C107" s="291"/>
      <c r="D107" s="291"/>
      <c r="E107" s="291"/>
      <c r="F107" s="291"/>
      <c r="G107" s="295"/>
      <c r="I107" s="294">
        <f t="shared" si="10"/>
        <v>48214</v>
      </c>
      <c r="J107" s="291">
        <f t="shared" si="11"/>
        <v>1.064108801074326E-10</v>
      </c>
      <c r="K107" s="291">
        <f t="shared" si="6"/>
        <v>0</v>
      </c>
      <c r="L107" s="291">
        <f t="shared" si="7"/>
        <v>0</v>
      </c>
      <c r="M107" s="291">
        <f t="shared" si="8"/>
        <v>0</v>
      </c>
      <c r="N107" s="295">
        <f t="shared" si="9"/>
        <v>1.064108801074326E-10</v>
      </c>
    </row>
    <row r="108" spans="2:14" x14ac:dyDescent="0.45">
      <c r="B108" s="294"/>
      <c r="C108" s="291"/>
      <c r="D108" s="291"/>
      <c r="E108" s="291"/>
      <c r="F108" s="291"/>
      <c r="G108" s="295"/>
      <c r="I108" s="294">
        <f t="shared" si="10"/>
        <v>48245</v>
      </c>
      <c r="J108" s="291">
        <f t="shared" si="11"/>
        <v>1.064108801074326E-10</v>
      </c>
      <c r="K108" s="291">
        <f t="shared" si="6"/>
        <v>0</v>
      </c>
      <c r="L108" s="291">
        <f t="shared" si="7"/>
        <v>0</v>
      </c>
      <c r="M108" s="291">
        <f t="shared" si="8"/>
        <v>0</v>
      </c>
      <c r="N108" s="295">
        <f t="shared" si="9"/>
        <v>1.064108801074326E-10</v>
      </c>
    </row>
    <row r="109" spans="2:14" x14ac:dyDescent="0.45">
      <c r="B109" s="294"/>
      <c r="C109" s="291"/>
      <c r="D109" s="291"/>
      <c r="E109" s="291"/>
      <c r="F109" s="291"/>
      <c r="G109" s="295"/>
      <c r="I109" s="294">
        <f t="shared" si="10"/>
        <v>48274</v>
      </c>
      <c r="J109" s="291">
        <f t="shared" si="11"/>
        <v>1.064108801074326E-10</v>
      </c>
      <c r="K109" s="291">
        <f t="shared" si="6"/>
        <v>0</v>
      </c>
      <c r="L109" s="291">
        <f t="shared" si="7"/>
        <v>0</v>
      </c>
      <c r="M109" s="291">
        <f t="shared" si="8"/>
        <v>0</v>
      </c>
      <c r="N109" s="295">
        <f t="shared" si="9"/>
        <v>1.064108801074326E-10</v>
      </c>
    </row>
    <row r="110" spans="2:14" x14ac:dyDescent="0.45">
      <c r="B110" s="294"/>
      <c r="C110" s="291"/>
      <c r="D110" s="291"/>
      <c r="E110" s="291"/>
      <c r="F110" s="291"/>
      <c r="G110" s="295"/>
      <c r="I110" s="294">
        <f t="shared" si="10"/>
        <v>48305</v>
      </c>
      <c r="J110" s="291">
        <f t="shared" si="11"/>
        <v>1.064108801074326E-10</v>
      </c>
      <c r="K110" s="291">
        <f t="shared" si="6"/>
        <v>0</v>
      </c>
      <c r="L110" s="291">
        <f t="shared" si="7"/>
        <v>0</v>
      </c>
      <c r="M110" s="291">
        <f t="shared" si="8"/>
        <v>0</v>
      </c>
      <c r="N110" s="295">
        <f t="shared" si="9"/>
        <v>1.064108801074326E-10</v>
      </c>
    </row>
    <row r="111" spans="2:14" x14ac:dyDescent="0.45">
      <c r="B111" s="294"/>
      <c r="C111" s="291"/>
      <c r="D111" s="291"/>
      <c r="E111" s="291"/>
      <c r="F111" s="291"/>
      <c r="G111" s="295"/>
      <c r="I111" s="294">
        <f t="shared" si="10"/>
        <v>48335</v>
      </c>
      <c r="J111" s="291">
        <f t="shared" si="11"/>
        <v>1.064108801074326E-10</v>
      </c>
      <c r="K111" s="291">
        <f t="shared" si="6"/>
        <v>0</v>
      </c>
      <c r="L111" s="291">
        <f t="shared" si="7"/>
        <v>0</v>
      </c>
      <c r="M111" s="291">
        <f t="shared" si="8"/>
        <v>0</v>
      </c>
      <c r="N111" s="295">
        <f t="shared" si="9"/>
        <v>1.064108801074326E-10</v>
      </c>
    </row>
    <row r="112" spans="2:14" x14ac:dyDescent="0.45">
      <c r="B112" s="294"/>
      <c r="C112" s="291"/>
      <c r="D112" s="291"/>
      <c r="E112" s="291"/>
      <c r="F112" s="291"/>
      <c r="G112" s="295"/>
      <c r="I112" s="294">
        <f t="shared" si="10"/>
        <v>48366</v>
      </c>
      <c r="J112" s="291">
        <f t="shared" si="11"/>
        <v>1.064108801074326E-10</v>
      </c>
      <c r="K112" s="291">
        <f t="shared" si="6"/>
        <v>0</v>
      </c>
      <c r="L112" s="291">
        <f t="shared" si="7"/>
        <v>0</v>
      </c>
      <c r="M112" s="291">
        <f t="shared" si="8"/>
        <v>0</v>
      </c>
      <c r="N112" s="295">
        <f t="shared" si="9"/>
        <v>1.064108801074326E-10</v>
      </c>
    </row>
    <row r="113" spans="2:14" x14ac:dyDescent="0.45">
      <c r="B113" s="294"/>
      <c r="C113" s="291"/>
      <c r="D113" s="291"/>
      <c r="E113" s="291"/>
      <c r="F113" s="291"/>
      <c r="G113" s="295"/>
      <c r="I113" s="294">
        <f t="shared" si="10"/>
        <v>48396</v>
      </c>
      <c r="J113" s="291">
        <f t="shared" si="11"/>
        <v>1.064108801074326E-10</v>
      </c>
      <c r="K113" s="291">
        <f t="shared" si="6"/>
        <v>0</v>
      </c>
      <c r="L113" s="291">
        <f t="shared" si="7"/>
        <v>0</v>
      </c>
      <c r="M113" s="291">
        <f t="shared" si="8"/>
        <v>0</v>
      </c>
      <c r="N113" s="295">
        <f t="shared" si="9"/>
        <v>1.064108801074326E-10</v>
      </c>
    </row>
    <row r="114" spans="2:14" x14ac:dyDescent="0.45">
      <c r="B114" s="294"/>
      <c r="C114" s="291"/>
      <c r="D114" s="291"/>
      <c r="E114" s="291"/>
      <c r="F114" s="291"/>
      <c r="G114" s="295"/>
      <c r="I114" s="294">
        <f t="shared" si="10"/>
        <v>48427</v>
      </c>
      <c r="J114" s="291">
        <f t="shared" si="11"/>
        <v>1.064108801074326E-10</v>
      </c>
      <c r="K114" s="291">
        <f t="shared" si="6"/>
        <v>0</v>
      </c>
      <c r="L114" s="291">
        <f t="shared" si="7"/>
        <v>0</v>
      </c>
      <c r="M114" s="291">
        <f t="shared" si="8"/>
        <v>0</v>
      </c>
      <c r="N114" s="295">
        <f t="shared" si="9"/>
        <v>1.064108801074326E-10</v>
      </c>
    </row>
    <row r="115" spans="2:14" x14ac:dyDescent="0.45">
      <c r="B115" s="294"/>
      <c r="C115" s="291"/>
      <c r="D115" s="291"/>
      <c r="E115" s="291"/>
      <c r="F115" s="291"/>
      <c r="G115" s="295"/>
      <c r="I115" s="294">
        <f t="shared" si="10"/>
        <v>48458</v>
      </c>
      <c r="J115" s="291">
        <f t="shared" si="11"/>
        <v>1.064108801074326E-10</v>
      </c>
      <c r="K115" s="291">
        <f t="shared" si="6"/>
        <v>0</v>
      </c>
      <c r="L115" s="291">
        <f t="shared" si="7"/>
        <v>0</v>
      </c>
      <c r="M115" s="291">
        <f t="shared" si="8"/>
        <v>0</v>
      </c>
      <c r="N115" s="295">
        <f t="shared" si="9"/>
        <v>1.064108801074326E-10</v>
      </c>
    </row>
    <row r="116" spans="2:14" x14ac:dyDescent="0.45">
      <c r="B116" s="294"/>
      <c r="C116" s="291"/>
      <c r="D116" s="291"/>
      <c r="E116" s="291"/>
      <c r="F116" s="291"/>
      <c r="G116" s="295"/>
      <c r="I116" s="294">
        <f t="shared" si="10"/>
        <v>48488</v>
      </c>
      <c r="J116" s="291">
        <f t="shared" si="11"/>
        <v>1.064108801074326E-10</v>
      </c>
      <c r="K116" s="291">
        <f t="shared" si="6"/>
        <v>0</v>
      </c>
      <c r="L116" s="291">
        <f t="shared" si="7"/>
        <v>0</v>
      </c>
      <c r="M116" s="291">
        <f t="shared" si="8"/>
        <v>0</v>
      </c>
      <c r="N116" s="295">
        <f t="shared" si="9"/>
        <v>1.064108801074326E-10</v>
      </c>
    </row>
    <row r="117" spans="2:14" x14ac:dyDescent="0.45">
      <c r="B117" s="294"/>
      <c r="C117" s="291"/>
      <c r="D117" s="291"/>
      <c r="E117" s="291"/>
      <c r="F117" s="291"/>
      <c r="G117" s="295"/>
      <c r="I117" s="294">
        <f t="shared" si="10"/>
        <v>48519</v>
      </c>
      <c r="J117" s="291">
        <f t="shared" si="11"/>
        <v>1.064108801074326E-10</v>
      </c>
      <c r="K117" s="291">
        <f t="shared" si="6"/>
        <v>0</v>
      </c>
      <c r="L117" s="291">
        <f t="shared" si="7"/>
        <v>0</v>
      </c>
      <c r="M117" s="291">
        <f t="shared" si="8"/>
        <v>0</v>
      </c>
      <c r="N117" s="295">
        <f t="shared" si="9"/>
        <v>1.064108801074326E-10</v>
      </c>
    </row>
    <row r="118" spans="2:14" x14ac:dyDescent="0.45">
      <c r="B118" s="294"/>
      <c r="C118" s="291"/>
      <c r="D118" s="291"/>
      <c r="E118" s="291"/>
      <c r="F118" s="291"/>
      <c r="G118" s="295"/>
      <c r="I118" s="294">
        <f t="shared" si="10"/>
        <v>48549</v>
      </c>
      <c r="J118" s="291">
        <f t="shared" si="11"/>
        <v>1.064108801074326E-10</v>
      </c>
      <c r="K118" s="291">
        <f t="shared" si="6"/>
        <v>0</v>
      </c>
      <c r="L118" s="291">
        <f t="shared" si="7"/>
        <v>0</v>
      </c>
      <c r="M118" s="291">
        <f t="shared" si="8"/>
        <v>0</v>
      </c>
      <c r="N118" s="295">
        <f t="shared" si="9"/>
        <v>1.064108801074326E-10</v>
      </c>
    </row>
    <row r="119" spans="2:14" x14ac:dyDescent="0.45">
      <c r="B119" s="294"/>
      <c r="C119" s="291"/>
      <c r="D119" s="291"/>
      <c r="E119" s="291"/>
      <c r="F119" s="291"/>
      <c r="G119" s="295"/>
      <c r="I119" s="294">
        <f t="shared" si="10"/>
        <v>48580</v>
      </c>
      <c r="J119" s="291">
        <f t="shared" si="11"/>
        <v>1.064108801074326E-10</v>
      </c>
      <c r="K119" s="291">
        <f t="shared" si="6"/>
        <v>0</v>
      </c>
      <c r="L119" s="291">
        <f t="shared" si="7"/>
        <v>0</v>
      </c>
      <c r="M119" s="291">
        <f t="shared" si="8"/>
        <v>0</v>
      </c>
      <c r="N119" s="295">
        <f t="shared" si="9"/>
        <v>1.064108801074326E-10</v>
      </c>
    </row>
    <row r="120" spans="2:14" x14ac:dyDescent="0.45">
      <c r="B120" s="294"/>
      <c r="C120" s="291"/>
      <c r="D120" s="291"/>
      <c r="E120" s="291"/>
      <c r="F120" s="291"/>
      <c r="G120" s="295"/>
      <c r="I120" s="294">
        <f t="shared" si="10"/>
        <v>48611</v>
      </c>
      <c r="J120" s="291">
        <f t="shared" si="11"/>
        <v>1.064108801074326E-10</v>
      </c>
      <c r="K120" s="291">
        <f t="shared" si="6"/>
        <v>0</v>
      </c>
      <c r="L120" s="291">
        <f t="shared" si="7"/>
        <v>0</v>
      </c>
      <c r="M120" s="291">
        <f t="shared" si="8"/>
        <v>0</v>
      </c>
      <c r="N120" s="295">
        <f t="shared" si="9"/>
        <v>1.064108801074326E-10</v>
      </c>
    </row>
    <row r="121" spans="2:14" x14ac:dyDescent="0.45">
      <c r="B121" s="294"/>
      <c r="C121" s="291"/>
      <c r="D121" s="291"/>
      <c r="E121" s="291"/>
      <c r="F121" s="291"/>
      <c r="G121" s="295"/>
      <c r="I121" s="294">
        <f t="shared" si="10"/>
        <v>48639</v>
      </c>
      <c r="J121" s="291">
        <f t="shared" si="11"/>
        <v>1.064108801074326E-10</v>
      </c>
      <c r="K121" s="291">
        <f t="shared" si="6"/>
        <v>0</v>
      </c>
      <c r="L121" s="291">
        <f t="shared" si="7"/>
        <v>0</v>
      </c>
      <c r="M121" s="291">
        <f t="shared" si="8"/>
        <v>0</v>
      </c>
      <c r="N121" s="295">
        <f t="shared" si="9"/>
        <v>1.064108801074326E-10</v>
      </c>
    </row>
    <row r="122" spans="2:14" x14ac:dyDescent="0.45">
      <c r="B122" s="294"/>
      <c r="C122" s="291"/>
      <c r="D122" s="291"/>
      <c r="E122" s="291"/>
      <c r="F122" s="291"/>
      <c r="G122" s="295"/>
      <c r="I122" s="294">
        <f t="shared" si="10"/>
        <v>48670</v>
      </c>
      <c r="J122" s="291">
        <f t="shared" si="11"/>
        <v>1.064108801074326E-10</v>
      </c>
      <c r="K122" s="291">
        <f t="shared" si="6"/>
        <v>0</v>
      </c>
      <c r="L122" s="291">
        <f t="shared" si="7"/>
        <v>0</v>
      </c>
      <c r="M122" s="291">
        <f t="shared" si="8"/>
        <v>0</v>
      </c>
      <c r="N122" s="295">
        <f t="shared" si="9"/>
        <v>1.064108801074326E-10</v>
      </c>
    </row>
    <row r="123" spans="2:14" x14ac:dyDescent="0.45">
      <c r="B123" s="294"/>
      <c r="C123" s="291"/>
      <c r="D123" s="291"/>
      <c r="E123" s="291"/>
      <c r="F123" s="291"/>
      <c r="G123" s="295"/>
      <c r="I123" s="294">
        <f t="shared" si="10"/>
        <v>48700</v>
      </c>
      <c r="J123" s="291">
        <f t="shared" si="11"/>
        <v>1.064108801074326E-10</v>
      </c>
      <c r="K123" s="291">
        <f t="shared" si="6"/>
        <v>0</v>
      </c>
      <c r="L123" s="291">
        <f t="shared" si="7"/>
        <v>0</v>
      </c>
      <c r="M123" s="291">
        <f t="shared" si="8"/>
        <v>0</v>
      </c>
      <c r="N123" s="295">
        <f t="shared" si="9"/>
        <v>1.064108801074326E-10</v>
      </c>
    </row>
    <row r="124" spans="2:14" x14ac:dyDescent="0.45">
      <c r="B124" s="294"/>
      <c r="C124" s="291"/>
      <c r="D124" s="291"/>
      <c r="E124" s="291"/>
      <c r="F124" s="291"/>
      <c r="G124" s="295"/>
      <c r="I124" s="294">
        <f t="shared" si="10"/>
        <v>48731</v>
      </c>
      <c r="J124" s="291">
        <f t="shared" si="11"/>
        <v>1.064108801074326E-10</v>
      </c>
      <c r="K124" s="291">
        <f t="shared" si="6"/>
        <v>0</v>
      </c>
      <c r="L124" s="291">
        <f t="shared" si="7"/>
        <v>0</v>
      </c>
      <c r="M124" s="291">
        <f t="shared" si="8"/>
        <v>0</v>
      </c>
      <c r="N124" s="295">
        <f t="shared" si="9"/>
        <v>1.064108801074326E-10</v>
      </c>
    </row>
    <row r="125" spans="2:14" x14ac:dyDescent="0.45">
      <c r="B125" s="294"/>
      <c r="C125" s="291"/>
      <c r="D125" s="291"/>
      <c r="E125" s="291"/>
      <c r="F125" s="291"/>
      <c r="G125" s="295"/>
      <c r="I125" s="294">
        <f t="shared" si="10"/>
        <v>48761</v>
      </c>
      <c r="J125" s="291">
        <f t="shared" si="11"/>
        <v>1.064108801074326E-10</v>
      </c>
      <c r="K125" s="291">
        <f t="shared" si="6"/>
        <v>0</v>
      </c>
      <c r="L125" s="291">
        <f t="shared" si="7"/>
        <v>0</v>
      </c>
      <c r="M125" s="291">
        <f t="shared" si="8"/>
        <v>0</v>
      </c>
      <c r="N125" s="295">
        <f t="shared" si="9"/>
        <v>1.064108801074326E-10</v>
      </c>
    </row>
    <row r="126" spans="2:14" x14ac:dyDescent="0.45">
      <c r="B126" s="294"/>
      <c r="C126" s="291"/>
      <c r="D126" s="291"/>
      <c r="E126" s="291"/>
      <c r="F126" s="291"/>
      <c r="G126" s="295"/>
      <c r="I126" s="294">
        <f t="shared" si="10"/>
        <v>48792</v>
      </c>
      <c r="J126" s="291">
        <f t="shared" si="11"/>
        <v>1.064108801074326E-10</v>
      </c>
      <c r="K126" s="291">
        <f t="shared" si="6"/>
        <v>0</v>
      </c>
      <c r="L126" s="291">
        <f t="shared" si="7"/>
        <v>0</v>
      </c>
      <c r="M126" s="291">
        <f t="shared" si="8"/>
        <v>0</v>
      </c>
      <c r="N126" s="295">
        <f t="shared" si="9"/>
        <v>1.064108801074326E-10</v>
      </c>
    </row>
    <row r="127" spans="2:14" x14ac:dyDescent="0.45">
      <c r="B127" s="294"/>
      <c r="C127" s="291"/>
      <c r="D127" s="291"/>
      <c r="E127" s="291"/>
      <c r="F127" s="291"/>
      <c r="G127" s="295"/>
      <c r="I127" s="294">
        <f t="shared" si="10"/>
        <v>48823</v>
      </c>
      <c r="J127" s="291">
        <f t="shared" si="11"/>
        <v>1.064108801074326E-10</v>
      </c>
      <c r="K127" s="291">
        <f t="shared" si="6"/>
        <v>0</v>
      </c>
      <c r="L127" s="291">
        <f t="shared" si="7"/>
        <v>0</v>
      </c>
      <c r="M127" s="291">
        <f t="shared" si="8"/>
        <v>0</v>
      </c>
      <c r="N127" s="295">
        <f t="shared" si="9"/>
        <v>1.064108801074326E-10</v>
      </c>
    </row>
    <row r="128" spans="2:14" x14ac:dyDescent="0.45">
      <c r="B128" s="294"/>
      <c r="C128" s="291"/>
      <c r="D128" s="291"/>
      <c r="E128" s="291"/>
      <c r="F128" s="291"/>
      <c r="G128" s="295"/>
      <c r="I128" s="294">
        <f t="shared" si="10"/>
        <v>48853</v>
      </c>
      <c r="J128" s="291">
        <f t="shared" si="11"/>
        <v>1.064108801074326E-10</v>
      </c>
      <c r="K128" s="291">
        <f t="shared" si="6"/>
        <v>0</v>
      </c>
      <c r="L128" s="291">
        <f t="shared" si="7"/>
        <v>0</v>
      </c>
      <c r="M128" s="291">
        <f t="shared" si="8"/>
        <v>0</v>
      </c>
      <c r="N128" s="295">
        <f t="shared" si="9"/>
        <v>1.064108801074326E-10</v>
      </c>
    </row>
    <row r="129" spans="2:14" x14ac:dyDescent="0.45">
      <c r="B129" s="294"/>
      <c r="C129" s="291"/>
      <c r="D129" s="291"/>
      <c r="E129" s="291"/>
      <c r="F129" s="291"/>
      <c r="G129" s="295"/>
      <c r="I129" s="294">
        <f t="shared" si="10"/>
        <v>48884</v>
      </c>
      <c r="J129" s="291">
        <f t="shared" si="11"/>
        <v>1.064108801074326E-10</v>
      </c>
      <c r="K129" s="291">
        <f t="shared" si="6"/>
        <v>0</v>
      </c>
      <c r="L129" s="291">
        <f t="shared" si="7"/>
        <v>0</v>
      </c>
      <c r="M129" s="291">
        <f t="shared" si="8"/>
        <v>0</v>
      </c>
      <c r="N129" s="295">
        <f t="shared" si="9"/>
        <v>1.064108801074326E-10</v>
      </c>
    </row>
    <row r="130" spans="2:14" x14ac:dyDescent="0.45">
      <c r="B130" s="294"/>
      <c r="C130" s="291"/>
      <c r="D130" s="291"/>
      <c r="E130" s="291"/>
      <c r="F130" s="291"/>
      <c r="G130" s="295"/>
      <c r="I130" s="294">
        <f t="shared" si="10"/>
        <v>48914</v>
      </c>
      <c r="J130" s="291">
        <f t="shared" si="11"/>
        <v>1.064108801074326E-10</v>
      </c>
      <c r="K130" s="291">
        <f t="shared" si="6"/>
        <v>0</v>
      </c>
      <c r="L130" s="291">
        <f t="shared" si="7"/>
        <v>0</v>
      </c>
      <c r="M130" s="291">
        <f t="shared" si="8"/>
        <v>0</v>
      </c>
      <c r="N130" s="295">
        <f t="shared" si="9"/>
        <v>1.064108801074326E-10</v>
      </c>
    </row>
    <row r="131" spans="2:14" x14ac:dyDescent="0.45">
      <c r="B131" s="294"/>
      <c r="C131" s="291"/>
      <c r="D131" s="291"/>
      <c r="E131" s="291"/>
      <c r="F131" s="291"/>
      <c r="G131" s="295"/>
      <c r="I131" s="294">
        <f t="shared" si="10"/>
        <v>48945</v>
      </c>
      <c r="J131" s="291">
        <f t="shared" si="11"/>
        <v>1.064108801074326E-10</v>
      </c>
      <c r="K131" s="291">
        <f t="shared" si="6"/>
        <v>0</v>
      </c>
      <c r="L131" s="291">
        <f t="shared" si="7"/>
        <v>0</v>
      </c>
      <c r="M131" s="291">
        <f t="shared" si="8"/>
        <v>0</v>
      </c>
      <c r="N131" s="295">
        <f t="shared" si="9"/>
        <v>1.064108801074326E-10</v>
      </c>
    </row>
    <row r="132" spans="2:14" x14ac:dyDescent="0.45">
      <c r="B132" s="294"/>
      <c r="C132" s="291"/>
      <c r="D132" s="291"/>
      <c r="E132" s="291"/>
      <c r="F132" s="291"/>
      <c r="G132" s="295"/>
      <c r="I132" s="294">
        <f t="shared" si="10"/>
        <v>48976</v>
      </c>
      <c r="J132" s="291">
        <f t="shared" si="11"/>
        <v>1.064108801074326E-10</v>
      </c>
      <c r="K132" s="291">
        <f t="shared" si="6"/>
        <v>0</v>
      </c>
      <c r="L132" s="291">
        <f t="shared" si="7"/>
        <v>0</v>
      </c>
      <c r="M132" s="291">
        <f t="shared" si="8"/>
        <v>0</v>
      </c>
      <c r="N132" s="295">
        <f t="shared" si="9"/>
        <v>1.064108801074326E-10</v>
      </c>
    </row>
    <row r="133" spans="2:14" x14ac:dyDescent="0.45">
      <c r="B133" s="294"/>
      <c r="C133" s="291"/>
      <c r="D133" s="291"/>
      <c r="E133" s="291"/>
      <c r="F133" s="291"/>
      <c r="G133" s="295"/>
      <c r="I133" s="294">
        <f t="shared" si="10"/>
        <v>49004</v>
      </c>
      <c r="J133" s="291">
        <f t="shared" si="11"/>
        <v>1.064108801074326E-10</v>
      </c>
      <c r="K133" s="291">
        <f t="shared" si="6"/>
        <v>0</v>
      </c>
      <c r="L133" s="291">
        <f t="shared" si="7"/>
        <v>0</v>
      </c>
      <c r="M133" s="291">
        <f t="shared" si="8"/>
        <v>0</v>
      </c>
      <c r="N133" s="295">
        <f t="shared" si="9"/>
        <v>1.064108801074326E-10</v>
      </c>
    </row>
    <row r="134" spans="2:14" x14ac:dyDescent="0.45">
      <c r="B134" s="294"/>
      <c r="C134" s="291"/>
      <c r="D134" s="291"/>
      <c r="E134" s="291"/>
      <c r="F134" s="291"/>
      <c r="G134" s="295"/>
      <c r="I134" s="294">
        <f t="shared" si="10"/>
        <v>49035</v>
      </c>
      <c r="J134" s="291">
        <f t="shared" si="11"/>
        <v>1.064108801074326E-10</v>
      </c>
      <c r="K134" s="291">
        <f t="shared" si="6"/>
        <v>0</v>
      </c>
      <c r="L134" s="291">
        <f t="shared" si="7"/>
        <v>0</v>
      </c>
      <c r="M134" s="291">
        <f t="shared" si="8"/>
        <v>0</v>
      </c>
      <c r="N134" s="295">
        <f t="shared" si="9"/>
        <v>1.064108801074326E-10</v>
      </c>
    </row>
    <row r="135" spans="2:14" x14ac:dyDescent="0.45">
      <c r="B135" s="294"/>
      <c r="C135" s="291"/>
      <c r="D135" s="291"/>
      <c r="E135" s="291"/>
      <c r="F135" s="291"/>
      <c r="G135" s="295"/>
      <c r="I135" s="294">
        <f t="shared" si="10"/>
        <v>49065</v>
      </c>
      <c r="J135" s="291">
        <f t="shared" si="11"/>
        <v>1.064108801074326E-10</v>
      </c>
      <c r="K135" s="291">
        <f t="shared" si="6"/>
        <v>0</v>
      </c>
      <c r="L135" s="291">
        <f t="shared" si="7"/>
        <v>0</v>
      </c>
      <c r="M135" s="291">
        <f t="shared" si="8"/>
        <v>0</v>
      </c>
      <c r="N135" s="295">
        <f t="shared" si="9"/>
        <v>1.064108801074326E-10</v>
      </c>
    </row>
    <row r="136" spans="2:14" x14ac:dyDescent="0.45">
      <c r="B136" s="294"/>
      <c r="C136" s="291"/>
      <c r="D136" s="291"/>
      <c r="E136" s="291"/>
      <c r="F136" s="291"/>
      <c r="G136" s="295"/>
      <c r="I136" s="294">
        <f t="shared" si="10"/>
        <v>49096</v>
      </c>
      <c r="J136" s="291">
        <f t="shared" si="11"/>
        <v>1.064108801074326E-10</v>
      </c>
      <c r="K136" s="291">
        <f t="shared" si="6"/>
        <v>0</v>
      </c>
      <c r="L136" s="291">
        <f t="shared" si="7"/>
        <v>0</v>
      </c>
      <c r="M136" s="291">
        <f t="shared" si="8"/>
        <v>0</v>
      </c>
      <c r="N136" s="295">
        <f t="shared" si="9"/>
        <v>1.064108801074326E-10</v>
      </c>
    </row>
    <row r="137" spans="2:14" x14ac:dyDescent="0.45">
      <c r="B137" s="294"/>
      <c r="C137" s="291"/>
      <c r="D137" s="291"/>
      <c r="E137" s="291"/>
      <c r="F137" s="291"/>
      <c r="G137" s="295"/>
      <c r="I137" s="294">
        <f t="shared" si="10"/>
        <v>49126</v>
      </c>
      <c r="J137" s="291">
        <f t="shared" si="11"/>
        <v>1.064108801074326E-10</v>
      </c>
      <c r="K137" s="291">
        <f t="shared" si="6"/>
        <v>0</v>
      </c>
      <c r="L137" s="291">
        <f t="shared" si="7"/>
        <v>0</v>
      </c>
      <c r="M137" s="291">
        <f t="shared" si="8"/>
        <v>0</v>
      </c>
      <c r="N137" s="295">
        <f t="shared" si="9"/>
        <v>1.064108801074326E-10</v>
      </c>
    </row>
    <row r="138" spans="2:14" x14ac:dyDescent="0.45">
      <c r="B138" s="294"/>
      <c r="C138" s="291"/>
      <c r="D138" s="291"/>
      <c r="E138" s="291"/>
      <c r="F138" s="291"/>
      <c r="G138" s="295"/>
      <c r="I138" s="294">
        <f t="shared" si="10"/>
        <v>49157</v>
      </c>
      <c r="J138" s="291">
        <f t="shared" si="11"/>
        <v>1.064108801074326E-10</v>
      </c>
      <c r="K138" s="291">
        <f t="shared" si="6"/>
        <v>0</v>
      </c>
      <c r="L138" s="291">
        <f t="shared" si="7"/>
        <v>0</v>
      </c>
      <c r="M138" s="291">
        <f t="shared" si="8"/>
        <v>0</v>
      </c>
      <c r="N138" s="295">
        <f t="shared" si="9"/>
        <v>1.064108801074326E-10</v>
      </c>
    </row>
    <row r="139" spans="2:14" x14ac:dyDescent="0.45">
      <c r="B139" s="294"/>
      <c r="C139" s="291"/>
      <c r="D139" s="291"/>
      <c r="E139" s="291"/>
      <c r="F139" s="291"/>
      <c r="G139" s="295"/>
      <c r="I139" s="294">
        <f t="shared" si="10"/>
        <v>49188</v>
      </c>
      <c r="J139" s="291">
        <f t="shared" si="11"/>
        <v>1.064108801074326E-10</v>
      </c>
      <c r="K139" s="291">
        <f t="shared" si="6"/>
        <v>0</v>
      </c>
      <c r="L139" s="291">
        <f t="shared" si="7"/>
        <v>0</v>
      </c>
      <c r="M139" s="291">
        <f t="shared" si="8"/>
        <v>0</v>
      </c>
      <c r="N139" s="295">
        <f t="shared" si="9"/>
        <v>1.064108801074326E-10</v>
      </c>
    </row>
    <row r="140" spans="2:14" x14ac:dyDescent="0.45">
      <c r="B140" s="294"/>
      <c r="C140" s="291"/>
      <c r="D140" s="291"/>
      <c r="E140" s="291"/>
      <c r="F140" s="291"/>
      <c r="G140" s="295"/>
      <c r="I140" s="294">
        <f t="shared" si="10"/>
        <v>49218</v>
      </c>
      <c r="J140" s="291">
        <f t="shared" si="11"/>
        <v>1.064108801074326E-10</v>
      </c>
      <c r="K140" s="291">
        <f t="shared" ref="K140:K203" si="12">IF(ROUNDDOWN(J140,0)=0,0,PMT($L$4/12,$L$7,-$L$8)+$L$5)</f>
        <v>0</v>
      </c>
      <c r="L140" s="291">
        <f t="shared" ref="L140:L203" si="13">IF(ROUNDDOWN(J140,0)=0,0,(J140*$L$4/12)+$L$5)</f>
        <v>0</v>
      </c>
      <c r="M140" s="291">
        <f t="shared" ref="M140:M203" si="14">K140-L140</f>
        <v>0</v>
      </c>
      <c r="N140" s="295">
        <f t="shared" ref="N140:N203" si="15">J140-M140</f>
        <v>1.064108801074326E-10</v>
      </c>
    </row>
    <row r="141" spans="2:14" x14ac:dyDescent="0.45">
      <c r="B141" s="294"/>
      <c r="C141" s="291"/>
      <c r="D141" s="291"/>
      <c r="E141" s="291"/>
      <c r="F141" s="291"/>
      <c r="G141" s="295"/>
      <c r="I141" s="294">
        <f t="shared" ref="I141:I204" si="16">EDATE(I140,1)</f>
        <v>49249</v>
      </c>
      <c r="J141" s="291">
        <f t="shared" ref="J141:J204" si="17">N140</f>
        <v>1.064108801074326E-10</v>
      </c>
      <c r="K141" s="291">
        <f t="shared" si="12"/>
        <v>0</v>
      </c>
      <c r="L141" s="291">
        <f t="shared" si="13"/>
        <v>0</v>
      </c>
      <c r="M141" s="291">
        <f t="shared" si="14"/>
        <v>0</v>
      </c>
      <c r="N141" s="295">
        <f t="shared" si="15"/>
        <v>1.064108801074326E-10</v>
      </c>
    </row>
    <row r="142" spans="2:14" x14ac:dyDescent="0.45">
      <c r="B142" s="294"/>
      <c r="C142" s="291"/>
      <c r="D142" s="291"/>
      <c r="E142" s="291"/>
      <c r="F142" s="291"/>
      <c r="G142" s="295"/>
      <c r="I142" s="294">
        <f t="shared" si="16"/>
        <v>49279</v>
      </c>
      <c r="J142" s="291">
        <f t="shared" si="17"/>
        <v>1.064108801074326E-10</v>
      </c>
      <c r="K142" s="291">
        <f t="shared" si="12"/>
        <v>0</v>
      </c>
      <c r="L142" s="291">
        <f t="shared" si="13"/>
        <v>0</v>
      </c>
      <c r="M142" s="291">
        <f t="shared" si="14"/>
        <v>0</v>
      </c>
      <c r="N142" s="295">
        <f t="shared" si="15"/>
        <v>1.064108801074326E-10</v>
      </c>
    </row>
    <row r="143" spans="2:14" x14ac:dyDescent="0.45">
      <c r="B143" s="294"/>
      <c r="C143" s="291"/>
      <c r="D143" s="291"/>
      <c r="E143" s="291"/>
      <c r="F143" s="291"/>
      <c r="G143" s="295"/>
      <c r="I143" s="294">
        <f t="shared" si="16"/>
        <v>49310</v>
      </c>
      <c r="J143" s="291">
        <f t="shared" si="17"/>
        <v>1.064108801074326E-10</v>
      </c>
      <c r="K143" s="291">
        <f t="shared" si="12"/>
        <v>0</v>
      </c>
      <c r="L143" s="291">
        <f t="shared" si="13"/>
        <v>0</v>
      </c>
      <c r="M143" s="291">
        <f t="shared" si="14"/>
        <v>0</v>
      </c>
      <c r="N143" s="295">
        <f t="shared" si="15"/>
        <v>1.064108801074326E-10</v>
      </c>
    </row>
    <row r="144" spans="2:14" x14ac:dyDescent="0.45">
      <c r="B144" s="294"/>
      <c r="C144" s="291"/>
      <c r="D144" s="291"/>
      <c r="E144" s="291"/>
      <c r="F144" s="291"/>
      <c r="G144" s="295"/>
      <c r="I144" s="294">
        <f t="shared" si="16"/>
        <v>49341</v>
      </c>
      <c r="J144" s="291">
        <f t="shared" si="17"/>
        <v>1.064108801074326E-10</v>
      </c>
      <c r="K144" s="291">
        <f t="shared" si="12"/>
        <v>0</v>
      </c>
      <c r="L144" s="291">
        <f t="shared" si="13"/>
        <v>0</v>
      </c>
      <c r="M144" s="291">
        <f t="shared" si="14"/>
        <v>0</v>
      </c>
      <c r="N144" s="295">
        <f t="shared" si="15"/>
        <v>1.064108801074326E-10</v>
      </c>
    </row>
    <row r="145" spans="2:14" x14ac:dyDescent="0.45">
      <c r="B145" s="294"/>
      <c r="C145" s="291"/>
      <c r="D145" s="291"/>
      <c r="E145" s="291"/>
      <c r="F145" s="291"/>
      <c r="G145" s="295"/>
      <c r="I145" s="294">
        <f t="shared" si="16"/>
        <v>49369</v>
      </c>
      <c r="J145" s="291">
        <f t="shared" si="17"/>
        <v>1.064108801074326E-10</v>
      </c>
      <c r="K145" s="291">
        <f t="shared" si="12"/>
        <v>0</v>
      </c>
      <c r="L145" s="291">
        <f t="shared" si="13"/>
        <v>0</v>
      </c>
      <c r="M145" s="291">
        <f t="shared" si="14"/>
        <v>0</v>
      </c>
      <c r="N145" s="295">
        <f t="shared" si="15"/>
        <v>1.064108801074326E-10</v>
      </c>
    </row>
    <row r="146" spans="2:14" x14ac:dyDescent="0.45">
      <c r="B146" s="294"/>
      <c r="C146" s="291"/>
      <c r="D146" s="291"/>
      <c r="E146" s="291"/>
      <c r="F146" s="291"/>
      <c r="G146" s="295"/>
      <c r="I146" s="294">
        <f t="shared" si="16"/>
        <v>49400</v>
      </c>
      <c r="J146" s="291">
        <f t="shared" si="17"/>
        <v>1.064108801074326E-10</v>
      </c>
      <c r="K146" s="291">
        <f t="shared" si="12"/>
        <v>0</v>
      </c>
      <c r="L146" s="291">
        <f t="shared" si="13"/>
        <v>0</v>
      </c>
      <c r="M146" s="291">
        <f t="shared" si="14"/>
        <v>0</v>
      </c>
      <c r="N146" s="295">
        <f t="shared" si="15"/>
        <v>1.064108801074326E-10</v>
      </c>
    </row>
    <row r="147" spans="2:14" x14ac:dyDescent="0.45">
      <c r="B147" s="294"/>
      <c r="C147" s="291"/>
      <c r="D147" s="291"/>
      <c r="E147" s="291"/>
      <c r="F147" s="291"/>
      <c r="G147" s="295"/>
      <c r="I147" s="294">
        <f t="shared" si="16"/>
        <v>49430</v>
      </c>
      <c r="J147" s="291">
        <f t="shared" si="17"/>
        <v>1.064108801074326E-10</v>
      </c>
      <c r="K147" s="291">
        <f t="shared" si="12"/>
        <v>0</v>
      </c>
      <c r="L147" s="291">
        <f t="shared" si="13"/>
        <v>0</v>
      </c>
      <c r="M147" s="291">
        <f t="shared" si="14"/>
        <v>0</v>
      </c>
      <c r="N147" s="295">
        <f t="shared" si="15"/>
        <v>1.064108801074326E-10</v>
      </c>
    </row>
    <row r="148" spans="2:14" x14ac:dyDescent="0.45">
      <c r="B148" s="294"/>
      <c r="C148" s="291"/>
      <c r="D148" s="291"/>
      <c r="E148" s="291"/>
      <c r="F148" s="291"/>
      <c r="G148" s="295"/>
      <c r="I148" s="294">
        <f t="shared" si="16"/>
        <v>49461</v>
      </c>
      <c r="J148" s="291">
        <f t="shared" si="17"/>
        <v>1.064108801074326E-10</v>
      </c>
      <c r="K148" s="291">
        <f t="shared" si="12"/>
        <v>0</v>
      </c>
      <c r="L148" s="291">
        <f t="shared" si="13"/>
        <v>0</v>
      </c>
      <c r="M148" s="291">
        <f t="shared" si="14"/>
        <v>0</v>
      </c>
      <c r="N148" s="295">
        <f t="shared" si="15"/>
        <v>1.064108801074326E-10</v>
      </c>
    </row>
    <row r="149" spans="2:14" x14ac:dyDescent="0.45">
      <c r="B149" s="294"/>
      <c r="C149" s="291"/>
      <c r="D149" s="291"/>
      <c r="E149" s="291"/>
      <c r="F149" s="291"/>
      <c r="G149" s="295"/>
      <c r="I149" s="294">
        <f t="shared" si="16"/>
        <v>49491</v>
      </c>
      <c r="J149" s="291">
        <f t="shared" si="17"/>
        <v>1.064108801074326E-10</v>
      </c>
      <c r="K149" s="291">
        <f t="shared" si="12"/>
        <v>0</v>
      </c>
      <c r="L149" s="291">
        <f t="shared" si="13"/>
        <v>0</v>
      </c>
      <c r="M149" s="291">
        <f t="shared" si="14"/>
        <v>0</v>
      </c>
      <c r="N149" s="295">
        <f t="shared" si="15"/>
        <v>1.064108801074326E-10</v>
      </c>
    </row>
    <row r="150" spans="2:14" x14ac:dyDescent="0.45">
      <c r="B150" s="294"/>
      <c r="C150" s="291"/>
      <c r="D150" s="291"/>
      <c r="E150" s="291"/>
      <c r="F150" s="291"/>
      <c r="G150" s="295"/>
      <c r="I150" s="294">
        <f t="shared" si="16"/>
        <v>49522</v>
      </c>
      <c r="J150" s="291">
        <f t="shared" si="17"/>
        <v>1.064108801074326E-10</v>
      </c>
      <c r="K150" s="291">
        <f t="shared" si="12"/>
        <v>0</v>
      </c>
      <c r="L150" s="291">
        <f t="shared" si="13"/>
        <v>0</v>
      </c>
      <c r="M150" s="291">
        <f t="shared" si="14"/>
        <v>0</v>
      </c>
      <c r="N150" s="295">
        <f t="shared" si="15"/>
        <v>1.064108801074326E-10</v>
      </c>
    </row>
    <row r="151" spans="2:14" x14ac:dyDescent="0.45">
      <c r="B151" s="294"/>
      <c r="C151" s="291"/>
      <c r="D151" s="291"/>
      <c r="E151" s="291"/>
      <c r="F151" s="291"/>
      <c r="G151" s="295"/>
      <c r="I151" s="294">
        <f t="shared" si="16"/>
        <v>49553</v>
      </c>
      <c r="J151" s="291">
        <f t="shared" si="17"/>
        <v>1.064108801074326E-10</v>
      </c>
      <c r="K151" s="291">
        <f t="shared" si="12"/>
        <v>0</v>
      </c>
      <c r="L151" s="291">
        <f t="shared" si="13"/>
        <v>0</v>
      </c>
      <c r="M151" s="291">
        <f t="shared" si="14"/>
        <v>0</v>
      </c>
      <c r="N151" s="295">
        <f t="shared" si="15"/>
        <v>1.064108801074326E-10</v>
      </c>
    </row>
    <row r="152" spans="2:14" x14ac:dyDescent="0.45">
      <c r="B152" s="294"/>
      <c r="C152" s="291"/>
      <c r="D152" s="291"/>
      <c r="E152" s="291"/>
      <c r="F152" s="291"/>
      <c r="G152" s="295"/>
      <c r="I152" s="294">
        <f t="shared" si="16"/>
        <v>49583</v>
      </c>
      <c r="J152" s="291">
        <f t="shared" si="17"/>
        <v>1.064108801074326E-10</v>
      </c>
      <c r="K152" s="291">
        <f t="shared" si="12"/>
        <v>0</v>
      </c>
      <c r="L152" s="291">
        <f t="shared" si="13"/>
        <v>0</v>
      </c>
      <c r="M152" s="291">
        <f t="shared" si="14"/>
        <v>0</v>
      </c>
      <c r="N152" s="295">
        <f t="shared" si="15"/>
        <v>1.064108801074326E-10</v>
      </c>
    </row>
    <row r="153" spans="2:14" x14ac:dyDescent="0.45">
      <c r="B153" s="294"/>
      <c r="C153" s="291"/>
      <c r="D153" s="291"/>
      <c r="E153" s="291"/>
      <c r="F153" s="291"/>
      <c r="G153" s="295"/>
      <c r="I153" s="294">
        <f t="shared" si="16"/>
        <v>49614</v>
      </c>
      <c r="J153" s="291">
        <f t="shared" si="17"/>
        <v>1.064108801074326E-10</v>
      </c>
      <c r="K153" s="291">
        <f t="shared" si="12"/>
        <v>0</v>
      </c>
      <c r="L153" s="291">
        <f t="shared" si="13"/>
        <v>0</v>
      </c>
      <c r="M153" s="291">
        <f t="shared" si="14"/>
        <v>0</v>
      </c>
      <c r="N153" s="295">
        <f t="shared" si="15"/>
        <v>1.064108801074326E-10</v>
      </c>
    </row>
    <row r="154" spans="2:14" x14ac:dyDescent="0.45">
      <c r="B154" s="294"/>
      <c r="C154" s="291"/>
      <c r="D154" s="291"/>
      <c r="E154" s="291"/>
      <c r="F154" s="291"/>
      <c r="G154" s="295"/>
      <c r="I154" s="294">
        <f t="shared" si="16"/>
        <v>49644</v>
      </c>
      <c r="J154" s="291">
        <f t="shared" si="17"/>
        <v>1.064108801074326E-10</v>
      </c>
      <c r="K154" s="291">
        <f t="shared" si="12"/>
        <v>0</v>
      </c>
      <c r="L154" s="291">
        <f t="shared" si="13"/>
        <v>0</v>
      </c>
      <c r="M154" s="291">
        <f t="shared" si="14"/>
        <v>0</v>
      </c>
      <c r="N154" s="295">
        <f t="shared" si="15"/>
        <v>1.064108801074326E-10</v>
      </c>
    </row>
    <row r="155" spans="2:14" x14ac:dyDescent="0.45">
      <c r="B155" s="294"/>
      <c r="C155" s="291"/>
      <c r="D155" s="291"/>
      <c r="E155" s="291"/>
      <c r="F155" s="291"/>
      <c r="G155" s="295"/>
      <c r="I155" s="294">
        <f t="shared" si="16"/>
        <v>49675</v>
      </c>
      <c r="J155" s="291">
        <f t="shared" si="17"/>
        <v>1.064108801074326E-10</v>
      </c>
      <c r="K155" s="291">
        <f t="shared" si="12"/>
        <v>0</v>
      </c>
      <c r="L155" s="291">
        <f t="shared" si="13"/>
        <v>0</v>
      </c>
      <c r="M155" s="291">
        <f t="shared" si="14"/>
        <v>0</v>
      </c>
      <c r="N155" s="295">
        <f t="shared" si="15"/>
        <v>1.064108801074326E-10</v>
      </c>
    </row>
    <row r="156" spans="2:14" x14ac:dyDescent="0.45">
      <c r="B156" s="294"/>
      <c r="C156" s="291"/>
      <c r="D156" s="291"/>
      <c r="E156" s="291"/>
      <c r="F156" s="291"/>
      <c r="G156" s="295"/>
      <c r="I156" s="294">
        <f t="shared" si="16"/>
        <v>49706</v>
      </c>
      <c r="J156" s="291">
        <f t="shared" si="17"/>
        <v>1.064108801074326E-10</v>
      </c>
      <c r="K156" s="291">
        <f t="shared" si="12"/>
        <v>0</v>
      </c>
      <c r="L156" s="291">
        <f t="shared" si="13"/>
        <v>0</v>
      </c>
      <c r="M156" s="291">
        <f t="shared" si="14"/>
        <v>0</v>
      </c>
      <c r="N156" s="295">
        <f t="shared" si="15"/>
        <v>1.064108801074326E-10</v>
      </c>
    </row>
    <row r="157" spans="2:14" x14ac:dyDescent="0.45">
      <c r="B157" s="294"/>
      <c r="C157" s="291"/>
      <c r="D157" s="291"/>
      <c r="E157" s="291"/>
      <c r="F157" s="291"/>
      <c r="G157" s="295"/>
      <c r="I157" s="294">
        <f t="shared" si="16"/>
        <v>49735</v>
      </c>
      <c r="J157" s="291">
        <f t="shared" si="17"/>
        <v>1.064108801074326E-10</v>
      </c>
      <c r="K157" s="291">
        <f t="shared" si="12"/>
        <v>0</v>
      </c>
      <c r="L157" s="291">
        <f t="shared" si="13"/>
        <v>0</v>
      </c>
      <c r="M157" s="291">
        <f t="shared" si="14"/>
        <v>0</v>
      </c>
      <c r="N157" s="295">
        <f t="shared" si="15"/>
        <v>1.064108801074326E-10</v>
      </c>
    </row>
    <row r="158" spans="2:14" x14ac:dyDescent="0.45">
      <c r="B158" s="294"/>
      <c r="C158" s="291"/>
      <c r="D158" s="291"/>
      <c r="E158" s="291"/>
      <c r="F158" s="291"/>
      <c r="G158" s="295"/>
      <c r="I158" s="294">
        <f t="shared" si="16"/>
        <v>49766</v>
      </c>
      <c r="J158" s="291">
        <f t="shared" si="17"/>
        <v>1.064108801074326E-10</v>
      </c>
      <c r="K158" s="291">
        <f t="shared" si="12"/>
        <v>0</v>
      </c>
      <c r="L158" s="291">
        <f t="shared" si="13"/>
        <v>0</v>
      </c>
      <c r="M158" s="291">
        <f t="shared" si="14"/>
        <v>0</v>
      </c>
      <c r="N158" s="295">
        <f t="shared" si="15"/>
        <v>1.064108801074326E-10</v>
      </c>
    </row>
    <row r="159" spans="2:14" x14ac:dyDescent="0.45">
      <c r="B159" s="294"/>
      <c r="C159" s="291"/>
      <c r="D159" s="291"/>
      <c r="E159" s="291"/>
      <c r="F159" s="291"/>
      <c r="G159" s="295"/>
      <c r="I159" s="294">
        <f t="shared" si="16"/>
        <v>49796</v>
      </c>
      <c r="J159" s="291">
        <f t="shared" si="17"/>
        <v>1.064108801074326E-10</v>
      </c>
      <c r="K159" s="291">
        <f t="shared" si="12"/>
        <v>0</v>
      </c>
      <c r="L159" s="291">
        <f t="shared" si="13"/>
        <v>0</v>
      </c>
      <c r="M159" s="291">
        <f t="shared" si="14"/>
        <v>0</v>
      </c>
      <c r="N159" s="295">
        <f t="shared" si="15"/>
        <v>1.064108801074326E-10</v>
      </c>
    </row>
    <row r="160" spans="2:14" x14ac:dyDescent="0.45">
      <c r="B160" s="294"/>
      <c r="C160" s="291"/>
      <c r="D160" s="291"/>
      <c r="E160" s="291"/>
      <c r="F160" s="291"/>
      <c r="G160" s="295"/>
      <c r="I160" s="294">
        <f t="shared" si="16"/>
        <v>49827</v>
      </c>
      <c r="J160" s="291">
        <f t="shared" si="17"/>
        <v>1.064108801074326E-10</v>
      </c>
      <c r="K160" s="291">
        <f t="shared" si="12"/>
        <v>0</v>
      </c>
      <c r="L160" s="291">
        <f t="shared" si="13"/>
        <v>0</v>
      </c>
      <c r="M160" s="291">
        <f t="shared" si="14"/>
        <v>0</v>
      </c>
      <c r="N160" s="295">
        <f t="shared" si="15"/>
        <v>1.064108801074326E-10</v>
      </c>
    </row>
    <row r="161" spans="2:14" x14ac:dyDescent="0.45">
      <c r="B161" s="294"/>
      <c r="C161" s="291"/>
      <c r="D161" s="291"/>
      <c r="E161" s="291"/>
      <c r="F161" s="291"/>
      <c r="G161" s="295"/>
      <c r="I161" s="294">
        <f t="shared" si="16"/>
        <v>49857</v>
      </c>
      <c r="J161" s="291">
        <f t="shared" si="17"/>
        <v>1.064108801074326E-10</v>
      </c>
      <c r="K161" s="291">
        <f t="shared" si="12"/>
        <v>0</v>
      </c>
      <c r="L161" s="291">
        <f t="shared" si="13"/>
        <v>0</v>
      </c>
      <c r="M161" s="291">
        <f t="shared" si="14"/>
        <v>0</v>
      </c>
      <c r="N161" s="295">
        <f t="shared" si="15"/>
        <v>1.064108801074326E-10</v>
      </c>
    </row>
    <row r="162" spans="2:14" x14ac:dyDescent="0.45">
      <c r="B162" s="294"/>
      <c r="C162" s="291"/>
      <c r="D162" s="291"/>
      <c r="E162" s="291"/>
      <c r="F162" s="291"/>
      <c r="G162" s="295"/>
      <c r="I162" s="294">
        <f t="shared" si="16"/>
        <v>49888</v>
      </c>
      <c r="J162" s="291">
        <f t="shared" si="17"/>
        <v>1.064108801074326E-10</v>
      </c>
      <c r="K162" s="291">
        <f t="shared" si="12"/>
        <v>0</v>
      </c>
      <c r="L162" s="291">
        <f t="shared" si="13"/>
        <v>0</v>
      </c>
      <c r="M162" s="291">
        <f t="shared" si="14"/>
        <v>0</v>
      </c>
      <c r="N162" s="295">
        <f t="shared" si="15"/>
        <v>1.064108801074326E-10</v>
      </c>
    </row>
    <row r="163" spans="2:14" x14ac:dyDescent="0.45">
      <c r="B163" s="294"/>
      <c r="C163" s="291"/>
      <c r="D163" s="291"/>
      <c r="E163" s="291"/>
      <c r="F163" s="291"/>
      <c r="G163" s="295"/>
      <c r="I163" s="294">
        <f t="shared" si="16"/>
        <v>49919</v>
      </c>
      <c r="J163" s="291">
        <f t="shared" si="17"/>
        <v>1.064108801074326E-10</v>
      </c>
      <c r="K163" s="291">
        <f t="shared" si="12"/>
        <v>0</v>
      </c>
      <c r="L163" s="291">
        <f t="shared" si="13"/>
        <v>0</v>
      </c>
      <c r="M163" s="291">
        <f t="shared" si="14"/>
        <v>0</v>
      </c>
      <c r="N163" s="295">
        <f t="shared" si="15"/>
        <v>1.064108801074326E-10</v>
      </c>
    </row>
    <row r="164" spans="2:14" x14ac:dyDescent="0.45">
      <c r="B164" s="294"/>
      <c r="C164" s="291"/>
      <c r="D164" s="291"/>
      <c r="E164" s="291"/>
      <c r="F164" s="291"/>
      <c r="G164" s="295"/>
      <c r="I164" s="294">
        <f t="shared" si="16"/>
        <v>49949</v>
      </c>
      <c r="J164" s="291">
        <f t="shared" si="17"/>
        <v>1.064108801074326E-10</v>
      </c>
      <c r="K164" s="291">
        <f t="shared" si="12"/>
        <v>0</v>
      </c>
      <c r="L164" s="291">
        <f t="shared" si="13"/>
        <v>0</v>
      </c>
      <c r="M164" s="291">
        <f t="shared" si="14"/>
        <v>0</v>
      </c>
      <c r="N164" s="295">
        <f t="shared" si="15"/>
        <v>1.064108801074326E-10</v>
      </c>
    </row>
    <row r="165" spans="2:14" x14ac:dyDescent="0.45">
      <c r="B165" s="294"/>
      <c r="C165" s="291"/>
      <c r="D165" s="291"/>
      <c r="E165" s="291"/>
      <c r="F165" s="291"/>
      <c r="G165" s="295"/>
      <c r="I165" s="294">
        <f t="shared" si="16"/>
        <v>49980</v>
      </c>
      <c r="J165" s="291">
        <f t="shared" si="17"/>
        <v>1.064108801074326E-10</v>
      </c>
      <c r="K165" s="291">
        <f t="shared" si="12"/>
        <v>0</v>
      </c>
      <c r="L165" s="291">
        <f t="shared" si="13"/>
        <v>0</v>
      </c>
      <c r="M165" s="291">
        <f t="shared" si="14"/>
        <v>0</v>
      </c>
      <c r="N165" s="295">
        <f t="shared" si="15"/>
        <v>1.064108801074326E-10</v>
      </c>
    </row>
    <row r="166" spans="2:14" x14ac:dyDescent="0.45">
      <c r="B166" s="294"/>
      <c r="C166" s="291"/>
      <c r="D166" s="291"/>
      <c r="E166" s="291"/>
      <c r="F166" s="291"/>
      <c r="G166" s="295"/>
      <c r="I166" s="294">
        <f t="shared" si="16"/>
        <v>50010</v>
      </c>
      <c r="J166" s="291">
        <f t="shared" si="17"/>
        <v>1.064108801074326E-10</v>
      </c>
      <c r="K166" s="291">
        <f t="shared" si="12"/>
        <v>0</v>
      </c>
      <c r="L166" s="291">
        <f t="shared" si="13"/>
        <v>0</v>
      </c>
      <c r="M166" s="291">
        <f t="shared" si="14"/>
        <v>0</v>
      </c>
      <c r="N166" s="295">
        <f t="shared" si="15"/>
        <v>1.064108801074326E-10</v>
      </c>
    </row>
    <row r="167" spans="2:14" x14ac:dyDescent="0.45">
      <c r="B167" s="294"/>
      <c r="C167" s="291"/>
      <c r="D167" s="291"/>
      <c r="E167" s="291"/>
      <c r="F167" s="291"/>
      <c r="G167" s="295"/>
      <c r="I167" s="294">
        <f t="shared" si="16"/>
        <v>50041</v>
      </c>
      <c r="J167" s="291">
        <f t="shared" si="17"/>
        <v>1.064108801074326E-10</v>
      </c>
      <c r="K167" s="291">
        <f t="shared" si="12"/>
        <v>0</v>
      </c>
      <c r="L167" s="291">
        <f t="shared" si="13"/>
        <v>0</v>
      </c>
      <c r="M167" s="291">
        <f t="shared" si="14"/>
        <v>0</v>
      </c>
      <c r="N167" s="295">
        <f t="shared" si="15"/>
        <v>1.064108801074326E-10</v>
      </c>
    </row>
    <row r="168" spans="2:14" x14ac:dyDescent="0.45">
      <c r="B168" s="294"/>
      <c r="C168" s="291"/>
      <c r="D168" s="291"/>
      <c r="E168" s="291"/>
      <c r="F168" s="291"/>
      <c r="G168" s="295"/>
      <c r="I168" s="294">
        <f t="shared" si="16"/>
        <v>50072</v>
      </c>
      <c r="J168" s="291">
        <f t="shared" si="17"/>
        <v>1.064108801074326E-10</v>
      </c>
      <c r="K168" s="291">
        <f t="shared" si="12"/>
        <v>0</v>
      </c>
      <c r="L168" s="291">
        <f t="shared" si="13"/>
        <v>0</v>
      </c>
      <c r="M168" s="291">
        <f t="shared" si="14"/>
        <v>0</v>
      </c>
      <c r="N168" s="295">
        <f t="shared" si="15"/>
        <v>1.064108801074326E-10</v>
      </c>
    </row>
    <row r="169" spans="2:14" x14ac:dyDescent="0.45">
      <c r="B169" s="294"/>
      <c r="C169" s="291"/>
      <c r="D169" s="291"/>
      <c r="E169" s="291"/>
      <c r="F169" s="291"/>
      <c r="G169" s="295"/>
      <c r="I169" s="294">
        <f t="shared" si="16"/>
        <v>50100</v>
      </c>
      <c r="J169" s="291">
        <f t="shared" si="17"/>
        <v>1.064108801074326E-10</v>
      </c>
      <c r="K169" s="291">
        <f t="shared" si="12"/>
        <v>0</v>
      </c>
      <c r="L169" s="291">
        <f t="shared" si="13"/>
        <v>0</v>
      </c>
      <c r="M169" s="291">
        <f t="shared" si="14"/>
        <v>0</v>
      </c>
      <c r="N169" s="295">
        <f t="shared" si="15"/>
        <v>1.064108801074326E-10</v>
      </c>
    </row>
    <row r="170" spans="2:14" x14ac:dyDescent="0.45">
      <c r="B170" s="294"/>
      <c r="C170" s="291"/>
      <c r="D170" s="291"/>
      <c r="E170" s="291"/>
      <c r="F170" s="291"/>
      <c r="G170" s="295"/>
      <c r="I170" s="294">
        <f t="shared" si="16"/>
        <v>50131</v>
      </c>
      <c r="J170" s="291">
        <f t="shared" si="17"/>
        <v>1.064108801074326E-10</v>
      </c>
      <c r="K170" s="291">
        <f t="shared" si="12"/>
        <v>0</v>
      </c>
      <c r="L170" s="291">
        <f t="shared" si="13"/>
        <v>0</v>
      </c>
      <c r="M170" s="291">
        <f t="shared" si="14"/>
        <v>0</v>
      </c>
      <c r="N170" s="295">
        <f t="shared" si="15"/>
        <v>1.064108801074326E-10</v>
      </c>
    </row>
    <row r="171" spans="2:14" x14ac:dyDescent="0.45">
      <c r="B171" s="294"/>
      <c r="C171" s="291"/>
      <c r="D171" s="291"/>
      <c r="E171" s="291"/>
      <c r="F171" s="291"/>
      <c r="G171" s="295"/>
      <c r="I171" s="294">
        <f t="shared" si="16"/>
        <v>50161</v>
      </c>
      <c r="J171" s="291">
        <f t="shared" si="17"/>
        <v>1.064108801074326E-10</v>
      </c>
      <c r="K171" s="291">
        <f t="shared" si="12"/>
        <v>0</v>
      </c>
      <c r="L171" s="291">
        <f t="shared" si="13"/>
        <v>0</v>
      </c>
      <c r="M171" s="291">
        <f t="shared" si="14"/>
        <v>0</v>
      </c>
      <c r="N171" s="295">
        <f t="shared" si="15"/>
        <v>1.064108801074326E-10</v>
      </c>
    </row>
    <row r="172" spans="2:14" x14ac:dyDescent="0.45">
      <c r="B172" s="294"/>
      <c r="C172" s="291"/>
      <c r="D172" s="291"/>
      <c r="E172" s="291"/>
      <c r="F172" s="291"/>
      <c r="G172" s="295"/>
      <c r="I172" s="294">
        <f t="shared" si="16"/>
        <v>50192</v>
      </c>
      <c r="J172" s="291">
        <f t="shared" si="17"/>
        <v>1.064108801074326E-10</v>
      </c>
      <c r="K172" s="291">
        <f t="shared" si="12"/>
        <v>0</v>
      </c>
      <c r="L172" s="291">
        <f t="shared" si="13"/>
        <v>0</v>
      </c>
      <c r="M172" s="291">
        <f t="shared" si="14"/>
        <v>0</v>
      </c>
      <c r="N172" s="295">
        <f t="shared" si="15"/>
        <v>1.064108801074326E-10</v>
      </c>
    </row>
    <row r="173" spans="2:14" x14ac:dyDescent="0.45">
      <c r="B173" s="294"/>
      <c r="C173" s="291"/>
      <c r="D173" s="291"/>
      <c r="E173" s="291"/>
      <c r="F173" s="291"/>
      <c r="G173" s="295"/>
      <c r="I173" s="294">
        <f t="shared" si="16"/>
        <v>50222</v>
      </c>
      <c r="J173" s="291">
        <f t="shared" si="17"/>
        <v>1.064108801074326E-10</v>
      </c>
      <c r="K173" s="291">
        <f t="shared" si="12"/>
        <v>0</v>
      </c>
      <c r="L173" s="291">
        <f t="shared" si="13"/>
        <v>0</v>
      </c>
      <c r="M173" s="291">
        <f t="shared" si="14"/>
        <v>0</v>
      </c>
      <c r="N173" s="295">
        <f t="shared" si="15"/>
        <v>1.064108801074326E-10</v>
      </c>
    </row>
    <row r="174" spans="2:14" x14ac:dyDescent="0.45">
      <c r="B174" s="294"/>
      <c r="C174" s="291"/>
      <c r="D174" s="291"/>
      <c r="E174" s="291"/>
      <c r="F174" s="291"/>
      <c r="G174" s="295"/>
      <c r="I174" s="294">
        <f t="shared" si="16"/>
        <v>50253</v>
      </c>
      <c r="J174" s="291">
        <f t="shared" si="17"/>
        <v>1.064108801074326E-10</v>
      </c>
      <c r="K174" s="291">
        <f t="shared" si="12"/>
        <v>0</v>
      </c>
      <c r="L174" s="291">
        <f t="shared" si="13"/>
        <v>0</v>
      </c>
      <c r="M174" s="291">
        <f t="shared" si="14"/>
        <v>0</v>
      </c>
      <c r="N174" s="295">
        <f t="shared" si="15"/>
        <v>1.064108801074326E-10</v>
      </c>
    </row>
    <row r="175" spans="2:14" x14ac:dyDescent="0.45">
      <c r="B175" s="294"/>
      <c r="C175" s="291"/>
      <c r="D175" s="291"/>
      <c r="E175" s="291"/>
      <c r="F175" s="291"/>
      <c r="G175" s="295"/>
      <c r="I175" s="294">
        <f t="shared" si="16"/>
        <v>50284</v>
      </c>
      <c r="J175" s="291">
        <f t="shared" si="17"/>
        <v>1.064108801074326E-10</v>
      </c>
      <c r="K175" s="291">
        <f t="shared" si="12"/>
        <v>0</v>
      </c>
      <c r="L175" s="291">
        <f t="shared" si="13"/>
        <v>0</v>
      </c>
      <c r="M175" s="291">
        <f t="shared" si="14"/>
        <v>0</v>
      </c>
      <c r="N175" s="295">
        <f t="shared" si="15"/>
        <v>1.064108801074326E-10</v>
      </c>
    </row>
    <row r="176" spans="2:14" x14ac:dyDescent="0.45">
      <c r="B176" s="294"/>
      <c r="C176" s="291"/>
      <c r="D176" s="291"/>
      <c r="E176" s="291"/>
      <c r="F176" s="291"/>
      <c r="G176" s="295"/>
      <c r="I176" s="294">
        <f t="shared" si="16"/>
        <v>50314</v>
      </c>
      <c r="J176" s="291">
        <f t="shared" si="17"/>
        <v>1.064108801074326E-10</v>
      </c>
      <c r="K176" s="291">
        <f t="shared" si="12"/>
        <v>0</v>
      </c>
      <c r="L176" s="291">
        <f t="shared" si="13"/>
        <v>0</v>
      </c>
      <c r="M176" s="291">
        <f t="shared" si="14"/>
        <v>0</v>
      </c>
      <c r="N176" s="295">
        <f t="shared" si="15"/>
        <v>1.064108801074326E-10</v>
      </c>
    </row>
    <row r="177" spans="2:14" x14ac:dyDescent="0.45">
      <c r="B177" s="294"/>
      <c r="C177" s="291"/>
      <c r="D177" s="291"/>
      <c r="E177" s="291"/>
      <c r="F177" s="291"/>
      <c r="G177" s="295"/>
      <c r="I177" s="294">
        <f t="shared" si="16"/>
        <v>50345</v>
      </c>
      <c r="J177" s="291">
        <f t="shared" si="17"/>
        <v>1.064108801074326E-10</v>
      </c>
      <c r="K177" s="291">
        <f t="shared" si="12"/>
        <v>0</v>
      </c>
      <c r="L177" s="291">
        <f t="shared" si="13"/>
        <v>0</v>
      </c>
      <c r="M177" s="291">
        <f t="shared" si="14"/>
        <v>0</v>
      </c>
      <c r="N177" s="295">
        <f t="shared" si="15"/>
        <v>1.064108801074326E-10</v>
      </c>
    </row>
    <row r="178" spans="2:14" x14ac:dyDescent="0.45">
      <c r="B178" s="294"/>
      <c r="C178" s="291"/>
      <c r="D178" s="291"/>
      <c r="E178" s="291"/>
      <c r="F178" s="291"/>
      <c r="G178" s="295"/>
      <c r="I178" s="294">
        <f t="shared" si="16"/>
        <v>50375</v>
      </c>
      <c r="J178" s="291">
        <f t="shared" si="17"/>
        <v>1.064108801074326E-10</v>
      </c>
      <c r="K178" s="291">
        <f t="shared" si="12"/>
        <v>0</v>
      </c>
      <c r="L178" s="291">
        <f t="shared" si="13"/>
        <v>0</v>
      </c>
      <c r="M178" s="291">
        <f t="shared" si="14"/>
        <v>0</v>
      </c>
      <c r="N178" s="295">
        <f t="shared" si="15"/>
        <v>1.064108801074326E-10</v>
      </c>
    </row>
    <row r="179" spans="2:14" x14ac:dyDescent="0.45">
      <c r="B179" s="294"/>
      <c r="C179" s="291"/>
      <c r="D179" s="291"/>
      <c r="E179" s="291"/>
      <c r="F179" s="291"/>
      <c r="G179" s="295"/>
      <c r="I179" s="294">
        <f t="shared" si="16"/>
        <v>50406</v>
      </c>
      <c r="J179" s="291">
        <f t="shared" si="17"/>
        <v>1.064108801074326E-10</v>
      </c>
      <c r="K179" s="291">
        <f t="shared" si="12"/>
        <v>0</v>
      </c>
      <c r="L179" s="291">
        <f t="shared" si="13"/>
        <v>0</v>
      </c>
      <c r="M179" s="291">
        <f t="shared" si="14"/>
        <v>0</v>
      </c>
      <c r="N179" s="295">
        <f t="shared" si="15"/>
        <v>1.064108801074326E-10</v>
      </c>
    </row>
    <row r="180" spans="2:14" x14ac:dyDescent="0.45">
      <c r="B180" s="294"/>
      <c r="C180" s="291"/>
      <c r="D180" s="291"/>
      <c r="E180" s="291"/>
      <c r="F180" s="291"/>
      <c r="G180" s="295"/>
      <c r="I180" s="294">
        <f t="shared" si="16"/>
        <v>50437</v>
      </c>
      <c r="J180" s="291">
        <f t="shared" si="17"/>
        <v>1.064108801074326E-10</v>
      </c>
      <c r="K180" s="291">
        <f t="shared" si="12"/>
        <v>0</v>
      </c>
      <c r="L180" s="291">
        <f t="shared" si="13"/>
        <v>0</v>
      </c>
      <c r="M180" s="291">
        <f t="shared" si="14"/>
        <v>0</v>
      </c>
      <c r="N180" s="295">
        <f t="shared" si="15"/>
        <v>1.064108801074326E-10</v>
      </c>
    </row>
    <row r="181" spans="2:14" x14ac:dyDescent="0.45">
      <c r="B181" s="294"/>
      <c r="C181" s="291"/>
      <c r="D181" s="291"/>
      <c r="E181" s="291"/>
      <c r="F181" s="291"/>
      <c r="G181" s="295"/>
      <c r="I181" s="294">
        <f t="shared" si="16"/>
        <v>50465</v>
      </c>
      <c r="J181" s="291">
        <f t="shared" si="17"/>
        <v>1.064108801074326E-10</v>
      </c>
      <c r="K181" s="291">
        <f t="shared" si="12"/>
        <v>0</v>
      </c>
      <c r="L181" s="291">
        <f t="shared" si="13"/>
        <v>0</v>
      </c>
      <c r="M181" s="291">
        <f t="shared" si="14"/>
        <v>0</v>
      </c>
      <c r="N181" s="295">
        <f t="shared" si="15"/>
        <v>1.064108801074326E-10</v>
      </c>
    </row>
    <row r="182" spans="2:14" x14ac:dyDescent="0.45">
      <c r="B182" s="294"/>
      <c r="C182" s="291"/>
      <c r="D182" s="291"/>
      <c r="E182" s="291"/>
      <c r="F182" s="291"/>
      <c r="G182" s="295"/>
      <c r="I182" s="294">
        <f t="shared" si="16"/>
        <v>50496</v>
      </c>
      <c r="J182" s="291">
        <f t="shared" si="17"/>
        <v>1.064108801074326E-10</v>
      </c>
      <c r="K182" s="291">
        <f t="shared" si="12"/>
        <v>0</v>
      </c>
      <c r="L182" s="291">
        <f t="shared" si="13"/>
        <v>0</v>
      </c>
      <c r="M182" s="291">
        <f t="shared" si="14"/>
        <v>0</v>
      </c>
      <c r="N182" s="295">
        <f t="shared" si="15"/>
        <v>1.064108801074326E-10</v>
      </c>
    </row>
    <row r="183" spans="2:14" x14ac:dyDescent="0.45">
      <c r="B183" s="294"/>
      <c r="C183" s="291"/>
      <c r="D183" s="291"/>
      <c r="E183" s="291"/>
      <c r="F183" s="291"/>
      <c r="G183" s="295"/>
      <c r="I183" s="294">
        <f t="shared" si="16"/>
        <v>50526</v>
      </c>
      <c r="J183" s="291">
        <f t="shared" si="17"/>
        <v>1.064108801074326E-10</v>
      </c>
      <c r="K183" s="291">
        <f t="shared" si="12"/>
        <v>0</v>
      </c>
      <c r="L183" s="291">
        <f t="shared" si="13"/>
        <v>0</v>
      </c>
      <c r="M183" s="291">
        <f t="shared" si="14"/>
        <v>0</v>
      </c>
      <c r="N183" s="295">
        <f t="shared" si="15"/>
        <v>1.064108801074326E-10</v>
      </c>
    </row>
    <row r="184" spans="2:14" x14ac:dyDescent="0.45">
      <c r="B184" s="294"/>
      <c r="C184" s="291"/>
      <c r="D184" s="291"/>
      <c r="E184" s="291"/>
      <c r="F184" s="291"/>
      <c r="G184" s="295"/>
      <c r="I184" s="294">
        <f t="shared" si="16"/>
        <v>50557</v>
      </c>
      <c r="J184" s="291">
        <f t="shared" si="17"/>
        <v>1.064108801074326E-10</v>
      </c>
      <c r="K184" s="291">
        <f t="shared" si="12"/>
        <v>0</v>
      </c>
      <c r="L184" s="291">
        <f t="shared" si="13"/>
        <v>0</v>
      </c>
      <c r="M184" s="291">
        <f t="shared" si="14"/>
        <v>0</v>
      </c>
      <c r="N184" s="295">
        <f t="shared" si="15"/>
        <v>1.064108801074326E-10</v>
      </c>
    </row>
    <row r="185" spans="2:14" x14ac:dyDescent="0.45">
      <c r="B185" s="294"/>
      <c r="C185" s="291"/>
      <c r="D185" s="291"/>
      <c r="E185" s="291"/>
      <c r="F185" s="291"/>
      <c r="G185" s="295"/>
      <c r="I185" s="294">
        <f t="shared" si="16"/>
        <v>50587</v>
      </c>
      <c r="J185" s="291">
        <f t="shared" si="17"/>
        <v>1.064108801074326E-10</v>
      </c>
      <c r="K185" s="291">
        <f t="shared" si="12"/>
        <v>0</v>
      </c>
      <c r="L185" s="291">
        <f t="shared" si="13"/>
        <v>0</v>
      </c>
      <c r="M185" s="291">
        <f t="shared" si="14"/>
        <v>0</v>
      </c>
      <c r="N185" s="295">
        <f t="shared" si="15"/>
        <v>1.064108801074326E-10</v>
      </c>
    </row>
    <row r="186" spans="2:14" x14ac:dyDescent="0.45">
      <c r="B186" s="294"/>
      <c r="C186" s="291"/>
      <c r="D186" s="291"/>
      <c r="E186" s="291"/>
      <c r="F186" s="291"/>
      <c r="G186" s="295"/>
      <c r="I186" s="294">
        <f t="shared" si="16"/>
        <v>50618</v>
      </c>
      <c r="J186" s="291">
        <f t="shared" si="17"/>
        <v>1.064108801074326E-10</v>
      </c>
      <c r="K186" s="291">
        <f t="shared" si="12"/>
        <v>0</v>
      </c>
      <c r="L186" s="291">
        <f t="shared" si="13"/>
        <v>0</v>
      </c>
      <c r="M186" s="291">
        <f t="shared" si="14"/>
        <v>0</v>
      </c>
      <c r="N186" s="295">
        <f t="shared" si="15"/>
        <v>1.064108801074326E-10</v>
      </c>
    </row>
    <row r="187" spans="2:14" x14ac:dyDescent="0.45">
      <c r="B187" s="294"/>
      <c r="C187" s="291"/>
      <c r="D187" s="291"/>
      <c r="E187" s="291"/>
      <c r="F187" s="291"/>
      <c r="G187" s="295"/>
      <c r="I187" s="294">
        <f t="shared" si="16"/>
        <v>50649</v>
      </c>
      <c r="J187" s="291">
        <f t="shared" si="17"/>
        <v>1.064108801074326E-10</v>
      </c>
      <c r="K187" s="291">
        <f t="shared" si="12"/>
        <v>0</v>
      </c>
      <c r="L187" s="291">
        <f t="shared" si="13"/>
        <v>0</v>
      </c>
      <c r="M187" s="291">
        <f t="shared" si="14"/>
        <v>0</v>
      </c>
      <c r="N187" s="295">
        <f t="shared" si="15"/>
        <v>1.064108801074326E-10</v>
      </c>
    </row>
    <row r="188" spans="2:14" x14ac:dyDescent="0.45">
      <c r="B188" s="294"/>
      <c r="C188" s="291"/>
      <c r="D188" s="291"/>
      <c r="E188" s="291"/>
      <c r="F188" s="291"/>
      <c r="G188" s="295"/>
      <c r="I188" s="294">
        <f t="shared" si="16"/>
        <v>50679</v>
      </c>
      <c r="J188" s="291">
        <f t="shared" si="17"/>
        <v>1.064108801074326E-10</v>
      </c>
      <c r="K188" s="291">
        <f t="shared" si="12"/>
        <v>0</v>
      </c>
      <c r="L188" s="291">
        <f t="shared" si="13"/>
        <v>0</v>
      </c>
      <c r="M188" s="291">
        <f t="shared" si="14"/>
        <v>0</v>
      </c>
      <c r="N188" s="295">
        <f t="shared" si="15"/>
        <v>1.064108801074326E-10</v>
      </c>
    </row>
    <row r="189" spans="2:14" x14ac:dyDescent="0.45">
      <c r="B189" s="294"/>
      <c r="C189" s="291"/>
      <c r="D189" s="291"/>
      <c r="E189" s="291"/>
      <c r="F189" s="291"/>
      <c r="G189" s="295"/>
      <c r="I189" s="294">
        <f t="shared" si="16"/>
        <v>50710</v>
      </c>
      <c r="J189" s="291">
        <f t="shared" si="17"/>
        <v>1.064108801074326E-10</v>
      </c>
      <c r="K189" s="291">
        <f t="shared" si="12"/>
        <v>0</v>
      </c>
      <c r="L189" s="291">
        <f t="shared" si="13"/>
        <v>0</v>
      </c>
      <c r="M189" s="291">
        <f t="shared" si="14"/>
        <v>0</v>
      </c>
      <c r="N189" s="295">
        <f t="shared" si="15"/>
        <v>1.064108801074326E-10</v>
      </c>
    </row>
    <row r="190" spans="2:14" x14ac:dyDescent="0.45">
      <c r="B190" s="294"/>
      <c r="C190" s="291"/>
      <c r="D190" s="291"/>
      <c r="E190" s="291"/>
      <c r="F190" s="291"/>
      <c r="G190" s="295"/>
      <c r="I190" s="294">
        <f t="shared" si="16"/>
        <v>50740</v>
      </c>
      <c r="J190" s="291">
        <f t="shared" si="17"/>
        <v>1.064108801074326E-10</v>
      </c>
      <c r="K190" s="291">
        <f t="shared" si="12"/>
        <v>0</v>
      </c>
      <c r="L190" s="291">
        <f t="shared" si="13"/>
        <v>0</v>
      </c>
      <c r="M190" s="291">
        <f t="shared" si="14"/>
        <v>0</v>
      </c>
      <c r="N190" s="295">
        <f t="shared" si="15"/>
        <v>1.064108801074326E-10</v>
      </c>
    </row>
    <row r="191" spans="2:14" x14ac:dyDescent="0.45">
      <c r="B191" s="294"/>
      <c r="C191" s="291"/>
      <c r="D191" s="291"/>
      <c r="E191" s="291"/>
      <c r="F191" s="291"/>
      <c r="G191" s="295"/>
      <c r="I191" s="294">
        <f t="shared" si="16"/>
        <v>50771</v>
      </c>
      <c r="J191" s="291">
        <f t="shared" si="17"/>
        <v>1.064108801074326E-10</v>
      </c>
      <c r="K191" s="291">
        <f t="shared" si="12"/>
        <v>0</v>
      </c>
      <c r="L191" s="291">
        <f t="shared" si="13"/>
        <v>0</v>
      </c>
      <c r="M191" s="291">
        <f t="shared" si="14"/>
        <v>0</v>
      </c>
      <c r="N191" s="295">
        <f t="shared" si="15"/>
        <v>1.064108801074326E-10</v>
      </c>
    </row>
    <row r="192" spans="2:14" x14ac:dyDescent="0.45">
      <c r="B192" s="294"/>
      <c r="C192" s="291"/>
      <c r="D192" s="291"/>
      <c r="E192" s="291"/>
      <c r="F192" s="291"/>
      <c r="G192" s="295"/>
      <c r="I192" s="294">
        <f t="shared" si="16"/>
        <v>50802</v>
      </c>
      <c r="J192" s="291">
        <f t="shared" si="17"/>
        <v>1.064108801074326E-10</v>
      </c>
      <c r="K192" s="291">
        <f t="shared" si="12"/>
        <v>0</v>
      </c>
      <c r="L192" s="291">
        <f t="shared" si="13"/>
        <v>0</v>
      </c>
      <c r="M192" s="291">
        <f t="shared" si="14"/>
        <v>0</v>
      </c>
      <c r="N192" s="295">
        <f t="shared" si="15"/>
        <v>1.064108801074326E-10</v>
      </c>
    </row>
    <row r="193" spans="2:14" x14ac:dyDescent="0.45">
      <c r="B193" s="294"/>
      <c r="C193" s="291"/>
      <c r="D193" s="291"/>
      <c r="E193" s="291"/>
      <c r="F193" s="291"/>
      <c r="G193" s="295"/>
      <c r="I193" s="294">
        <f t="shared" si="16"/>
        <v>50830</v>
      </c>
      <c r="J193" s="291">
        <f t="shared" si="17"/>
        <v>1.064108801074326E-10</v>
      </c>
      <c r="K193" s="291">
        <f t="shared" si="12"/>
        <v>0</v>
      </c>
      <c r="L193" s="291">
        <f t="shared" si="13"/>
        <v>0</v>
      </c>
      <c r="M193" s="291">
        <f t="shared" si="14"/>
        <v>0</v>
      </c>
      <c r="N193" s="295">
        <f t="shared" si="15"/>
        <v>1.064108801074326E-10</v>
      </c>
    </row>
    <row r="194" spans="2:14" x14ac:dyDescent="0.45">
      <c r="B194" s="294"/>
      <c r="C194" s="291"/>
      <c r="D194" s="291"/>
      <c r="E194" s="291"/>
      <c r="F194" s="291"/>
      <c r="G194" s="295"/>
      <c r="I194" s="294">
        <f t="shared" si="16"/>
        <v>50861</v>
      </c>
      <c r="J194" s="291">
        <f t="shared" si="17"/>
        <v>1.064108801074326E-10</v>
      </c>
      <c r="K194" s="291">
        <f t="shared" si="12"/>
        <v>0</v>
      </c>
      <c r="L194" s="291">
        <f t="shared" si="13"/>
        <v>0</v>
      </c>
      <c r="M194" s="291">
        <f t="shared" si="14"/>
        <v>0</v>
      </c>
      <c r="N194" s="295">
        <f t="shared" si="15"/>
        <v>1.064108801074326E-10</v>
      </c>
    </row>
    <row r="195" spans="2:14" x14ac:dyDescent="0.45">
      <c r="B195" s="294"/>
      <c r="C195" s="291"/>
      <c r="D195" s="291"/>
      <c r="E195" s="291"/>
      <c r="F195" s="291"/>
      <c r="G195" s="295"/>
      <c r="I195" s="294">
        <f t="shared" si="16"/>
        <v>50891</v>
      </c>
      <c r="J195" s="291">
        <f t="shared" si="17"/>
        <v>1.064108801074326E-10</v>
      </c>
      <c r="K195" s="291">
        <f t="shared" si="12"/>
        <v>0</v>
      </c>
      <c r="L195" s="291">
        <f t="shared" si="13"/>
        <v>0</v>
      </c>
      <c r="M195" s="291">
        <f t="shared" si="14"/>
        <v>0</v>
      </c>
      <c r="N195" s="295">
        <f t="shared" si="15"/>
        <v>1.064108801074326E-10</v>
      </c>
    </row>
    <row r="196" spans="2:14" x14ac:dyDescent="0.45">
      <c r="B196" s="294"/>
      <c r="C196" s="291"/>
      <c r="D196" s="291"/>
      <c r="E196" s="291"/>
      <c r="F196" s="291"/>
      <c r="G196" s="295"/>
      <c r="I196" s="294">
        <f t="shared" si="16"/>
        <v>50922</v>
      </c>
      <c r="J196" s="291">
        <f t="shared" si="17"/>
        <v>1.064108801074326E-10</v>
      </c>
      <c r="K196" s="291">
        <f t="shared" si="12"/>
        <v>0</v>
      </c>
      <c r="L196" s="291">
        <f t="shared" si="13"/>
        <v>0</v>
      </c>
      <c r="M196" s="291">
        <f t="shared" si="14"/>
        <v>0</v>
      </c>
      <c r="N196" s="295">
        <f t="shared" si="15"/>
        <v>1.064108801074326E-10</v>
      </c>
    </row>
    <row r="197" spans="2:14" x14ac:dyDescent="0.45">
      <c r="B197" s="294"/>
      <c r="C197" s="291"/>
      <c r="D197" s="291"/>
      <c r="E197" s="291"/>
      <c r="F197" s="291"/>
      <c r="G197" s="295"/>
      <c r="I197" s="294">
        <f t="shared" si="16"/>
        <v>50952</v>
      </c>
      <c r="J197" s="291">
        <f t="shared" si="17"/>
        <v>1.064108801074326E-10</v>
      </c>
      <c r="K197" s="291">
        <f t="shared" si="12"/>
        <v>0</v>
      </c>
      <c r="L197" s="291">
        <f t="shared" si="13"/>
        <v>0</v>
      </c>
      <c r="M197" s="291">
        <f t="shared" si="14"/>
        <v>0</v>
      </c>
      <c r="N197" s="295">
        <f t="shared" si="15"/>
        <v>1.064108801074326E-10</v>
      </c>
    </row>
    <row r="198" spans="2:14" x14ac:dyDescent="0.45">
      <c r="B198" s="294"/>
      <c r="C198" s="291"/>
      <c r="D198" s="291"/>
      <c r="E198" s="291"/>
      <c r="F198" s="291"/>
      <c r="G198" s="295"/>
      <c r="I198" s="294">
        <f t="shared" si="16"/>
        <v>50983</v>
      </c>
      <c r="J198" s="291">
        <f t="shared" si="17"/>
        <v>1.064108801074326E-10</v>
      </c>
      <c r="K198" s="291">
        <f t="shared" si="12"/>
        <v>0</v>
      </c>
      <c r="L198" s="291">
        <f t="shared" si="13"/>
        <v>0</v>
      </c>
      <c r="M198" s="291">
        <f t="shared" si="14"/>
        <v>0</v>
      </c>
      <c r="N198" s="295">
        <f t="shared" si="15"/>
        <v>1.064108801074326E-10</v>
      </c>
    </row>
    <row r="199" spans="2:14" x14ac:dyDescent="0.45">
      <c r="B199" s="294"/>
      <c r="C199" s="291"/>
      <c r="D199" s="291"/>
      <c r="E199" s="291"/>
      <c r="F199" s="291"/>
      <c r="G199" s="295"/>
      <c r="I199" s="294">
        <f t="shared" si="16"/>
        <v>51014</v>
      </c>
      <c r="J199" s="291">
        <f t="shared" si="17"/>
        <v>1.064108801074326E-10</v>
      </c>
      <c r="K199" s="291">
        <f t="shared" si="12"/>
        <v>0</v>
      </c>
      <c r="L199" s="291">
        <f t="shared" si="13"/>
        <v>0</v>
      </c>
      <c r="M199" s="291">
        <f t="shared" si="14"/>
        <v>0</v>
      </c>
      <c r="N199" s="295">
        <f t="shared" si="15"/>
        <v>1.064108801074326E-10</v>
      </c>
    </row>
    <row r="200" spans="2:14" x14ac:dyDescent="0.45">
      <c r="B200" s="294"/>
      <c r="C200" s="291"/>
      <c r="D200" s="291"/>
      <c r="E200" s="291"/>
      <c r="F200" s="291"/>
      <c r="G200" s="295"/>
      <c r="I200" s="294">
        <f t="shared" si="16"/>
        <v>51044</v>
      </c>
      <c r="J200" s="291">
        <f t="shared" si="17"/>
        <v>1.064108801074326E-10</v>
      </c>
      <c r="K200" s="291">
        <f t="shared" si="12"/>
        <v>0</v>
      </c>
      <c r="L200" s="291">
        <f t="shared" si="13"/>
        <v>0</v>
      </c>
      <c r="M200" s="291">
        <f t="shared" si="14"/>
        <v>0</v>
      </c>
      <c r="N200" s="295">
        <f t="shared" si="15"/>
        <v>1.064108801074326E-10</v>
      </c>
    </row>
    <row r="201" spans="2:14" x14ac:dyDescent="0.45">
      <c r="B201" s="294"/>
      <c r="C201" s="291"/>
      <c r="D201" s="291"/>
      <c r="E201" s="291"/>
      <c r="F201" s="291"/>
      <c r="G201" s="295"/>
      <c r="I201" s="294">
        <f t="shared" si="16"/>
        <v>51075</v>
      </c>
      <c r="J201" s="291">
        <f t="shared" si="17"/>
        <v>1.064108801074326E-10</v>
      </c>
      <c r="K201" s="291">
        <f t="shared" si="12"/>
        <v>0</v>
      </c>
      <c r="L201" s="291">
        <f t="shared" si="13"/>
        <v>0</v>
      </c>
      <c r="M201" s="291">
        <f t="shared" si="14"/>
        <v>0</v>
      </c>
      <c r="N201" s="295">
        <f t="shared" si="15"/>
        <v>1.064108801074326E-10</v>
      </c>
    </row>
    <row r="202" spans="2:14" x14ac:dyDescent="0.45">
      <c r="B202" s="294"/>
      <c r="C202" s="291"/>
      <c r="D202" s="291"/>
      <c r="E202" s="291"/>
      <c r="F202" s="291"/>
      <c r="G202" s="295"/>
      <c r="I202" s="294">
        <f t="shared" si="16"/>
        <v>51105</v>
      </c>
      <c r="J202" s="291">
        <f t="shared" si="17"/>
        <v>1.064108801074326E-10</v>
      </c>
      <c r="K202" s="291">
        <f t="shared" si="12"/>
        <v>0</v>
      </c>
      <c r="L202" s="291">
        <f t="shared" si="13"/>
        <v>0</v>
      </c>
      <c r="M202" s="291">
        <f t="shared" si="14"/>
        <v>0</v>
      </c>
      <c r="N202" s="295">
        <f t="shared" si="15"/>
        <v>1.064108801074326E-10</v>
      </c>
    </row>
    <row r="203" spans="2:14" x14ac:dyDescent="0.45">
      <c r="B203" s="294"/>
      <c r="C203" s="291"/>
      <c r="D203" s="291"/>
      <c r="E203" s="291"/>
      <c r="F203" s="291"/>
      <c r="G203" s="295"/>
      <c r="I203" s="294">
        <f t="shared" si="16"/>
        <v>51136</v>
      </c>
      <c r="J203" s="291">
        <f t="shared" si="17"/>
        <v>1.064108801074326E-10</v>
      </c>
      <c r="K203" s="291">
        <f t="shared" si="12"/>
        <v>0</v>
      </c>
      <c r="L203" s="291">
        <f t="shared" si="13"/>
        <v>0</v>
      </c>
      <c r="M203" s="291">
        <f t="shared" si="14"/>
        <v>0</v>
      </c>
      <c r="N203" s="295">
        <f t="shared" si="15"/>
        <v>1.064108801074326E-10</v>
      </c>
    </row>
    <row r="204" spans="2:14" x14ac:dyDescent="0.45">
      <c r="B204" s="294"/>
      <c r="C204" s="291"/>
      <c r="D204" s="291"/>
      <c r="E204" s="291"/>
      <c r="F204" s="291"/>
      <c r="G204" s="295"/>
      <c r="I204" s="294">
        <f t="shared" si="16"/>
        <v>51167</v>
      </c>
      <c r="J204" s="291">
        <f t="shared" si="17"/>
        <v>1.064108801074326E-10</v>
      </c>
      <c r="K204" s="291">
        <f t="shared" ref="K204:K267" si="18">IF(ROUNDDOWN(J204,0)=0,0,PMT($L$4/12,$L$7,-$L$8)+$L$5)</f>
        <v>0</v>
      </c>
      <c r="L204" s="291">
        <f t="shared" ref="L204:L267" si="19">IF(ROUNDDOWN(J204,0)=0,0,(J204*$L$4/12)+$L$5)</f>
        <v>0</v>
      </c>
      <c r="M204" s="291">
        <f t="shared" ref="M204:M267" si="20">K204-L204</f>
        <v>0</v>
      </c>
      <c r="N204" s="295">
        <f t="shared" ref="N204:N267" si="21">J204-M204</f>
        <v>1.064108801074326E-10</v>
      </c>
    </row>
    <row r="205" spans="2:14" x14ac:dyDescent="0.45">
      <c r="B205" s="294"/>
      <c r="C205" s="291"/>
      <c r="D205" s="291"/>
      <c r="E205" s="291"/>
      <c r="F205" s="291"/>
      <c r="G205" s="295"/>
      <c r="I205" s="294">
        <f t="shared" ref="I205:I268" si="22">EDATE(I204,1)</f>
        <v>51196</v>
      </c>
      <c r="J205" s="291">
        <f t="shared" ref="J205:J268" si="23">N204</f>
        <v>1.064108801074326E-10</v>
      </c>
      <c r="K205" s="291">
        <f t="shared" si="18"/>
        <v>0</v>
      </c>
      <c r="L205" s="291">
        <f t="shared" si="19"/>
        <v>0</v>
      </c>
      <c r="M205" s="291">
        <f t="shared" si="20"/>
        <v>0</v>
      </c>
      <c r="N205" s="295">
        <f t="shared" si="21"/>
        <v>1.064108801074326E-10</v>
      </c>
    </row>
    <row r="206" spans="2:14" x14ac:dyDescent="0.45">
      <c r="B206" s="294"/>
      <c r="C206" s="291"/>
      <c r="D206" s="291"/>
      <c r="E206" s="291"/>
      <c r="F206" s="291"/>
      <c r="G206" s="295"/>
      <c r="I206" s="294">
        <f t="shared" si="22"/>
        <v>51227</v>
      </c>
      <c r="J206" s="291">
        <f t="shared" si="23"/>
        <v>1.064108801074326E-10</v>
      </c>
      <c r="K206" s="291">
        <f t="shared" si="18"/>
        <v>0</v>
      </c>
      <c r="L206" s="291">
        <f t="shared" si="19"/>
        <v>0</v>
      </c>
      <c r="M206" s="291">
        <f t="shared" si="20"/>
        <v>0</v>
      </c>
      <c r="N206" s="295">
        <f t="shared" si="21"/>
        <v>1.064108801074326E-10</v>
      </c>
    </row>
    <row r="207" spans="2:14" x14ac:dyDescent="0.45">
      <c r="B207" s="294"/>
      <c r="C207" s="291"/>
      <c r="D207" s="291"/>
      <c r="E207" s="291"/>
      <c r="F207" s="291"/>
      <c r="G207" s="295"/>
      <c r="I207" s="294">
        <f t="shared" si="22"/>
        <v>51257</v>
      </c>
      <c r="J207" s="291">
        <f t="shared" si="23"/>
        <v>1.064108801074326E-10</v>
      </c>
      <c r="K207" s="291">
        <f t="shared" si="18"/>
        <v>0</v>
      </c>
      <c r="L207" s="291">
        <f t="shared" si="19"/>
        <v>0</v>
      </c>
      <c r="M207" s="291">
        <f t="shared" si="20"/>
        <v>0</v>
      </c>
      <c r="N207" s="295">
        <f t="shared" si="21"/>
        <v>1.064108801074326E-10</v>
      </c>
    </row>
    <row r="208" spans="2:14" x14ac:dyDescent="0.45">
      <c r="B208" s="294"/>
      <c r="C208" s="291"/>
      <c r="D208" s="291"/>
      <c r="E208" s="291"/>
      <c r="F208" s="291"/>
      <c r="G208" s="295"/>
      <c r="I208" s="294">
        <f t="shared" si="22"/>
        <v>51288</v>
      </c>
      <c r="J208" s="291">
        <f t="shared" si="23"/>
        <v>1.064108801074326E-10</v>
      </c>
      <c r="K208" s="291">
        <f t="shared" si="18"/>
        <v>0</v>
      </c>
      <c r="L208" s="291">
        <f t="shared" si="19"/>
        <v>0</v>
      </c>
      <c r="M208" s="291">
        <f t="shared" si="20"/>
        <v>0</v>
      </c>
      <c r="N208" s="295">
        <f t="shared" si="21"/>
        <v>1.064108801074326E-10</v>
      </c>
    </row>
    <row r="209" spans="2:14" x14ac:dyDescent="0.45">
      <c r="B209" s="294"/>
      <c r="C209" s="291"/>
      <c r="D209" s="291"/>
      <c r="E209" s="291"/>
      <c r="F209" s="291"/>
      <c r="G209" s="295"/>
      <c r="I209" s="294">
        <f t="shared" si="22"/>
        <v>51318</v>
      </c>
      <c r="J209" s="291">
        <f t="shared" si="23"/>
        <v>1.064108801074326E-10</v>
      </c>
      <c r="K209" s="291">
        <f t="shared" si="18"/>
        <v>0</v>
      </c>
      <c r="L209" s="291">
        <f t="shared" si="19"/>
        <v>0</v>
      </c>
      <c r="M209" s="291">
        <f t="shared" si="20"/>
        <v>0</v>
      </c>
      <c r="N209" s="295">
        <f t="shared" si="21"/>
        <v>1.064108801074326E-10</v>
      </c>
    </row>
    <row r="210" spans="2:14" x14ac:dyDescent="0.45">
      <c r="B210" s="294"/>
      <c r="C210" s="291"/>
      <c r="D210" s="291"/>
      <c r="E210" s="291"/>
      <c r="F210" s="291"/>
      <c r="G210" s="295"/>
      <c r="I210" s="294">
        <f t="shared" si="22"/>
        <v>51349</v>
      </c>
      <c r="J210" s="291">
        <f t="shared" si="23"/>
        <v>1.064108801074326E-10</v>
      </c>
      <c r="K210" s="291">
        <f t="shared" si="18"/>
        <v>0</v>
      </c>
      <c r="L210" s="291">
        <f t="shared" si="19"/>
        <v>0</v>
      </c>
      <c r="M210" s="291">
        <f t="shared" si="20"/>
        <v>0</v>
      </c>
      <c r="N210" s="295">
        <f t="shared" si="21"/>
        <v>1.064108801074326E-10</v>
      </c>
    </row>
    <row r="211" spans="2:14" x14ac:dyDescent="0.45">
      <c r="B211" s="294"/>
      <c r="C211" s="291"/>
      <c r="D211" s="291"/>
      <c r="E211" s="291"/>
      <c r="F211" s="291"/>
      <c r="G211" s="295"/>
      <c r="I211" s="294">
        <f t="shared" si="22"/>
        <v>51380</v>
      </c>
      <c r="J211" s="291">
        <f t="shared" si="23"/>
        <v>1.064108801074326E-10</v>
      </c>
      <c r="K211" s="291">
        <f t="shared" si="18"/>
        <v>0</v>
      </c>
      <c r="L211" s="291">
        <f t="shared" si="19"/>
        <v>0</v>
      </c>
      <c r="M211" s="291">
        <f t="shared" si="20"/>
        <v>0</v>
      </c>
      <c r="N211" s="295">
        <f t="shared" si="21"/>
        <v>1.064108801074326E-10</v>
      </c>
    </row>
    <row r="212" spans="2:14" x14ac:dyDescent="0.45">
      <c r="B212" s="294"/>
      <c r="C212" s="291"/>
      <c r="D212" s="291"/>
      <c r="E212" s="291"/>
      <c r="F212" s="291"/>
      <c r="G212" s="295"/>
      <c r="I212" s="294">
        <f t="shared" si="22"/>
        <v>51410</v>
      </c>
      <c r="J212" s="291">
        <f t="shared" si="23"/>
        <v>1.064108801074326E-10</v>
      </c>
      <c r="K212" s="291">
        <f t="shared" si="18"/>
        <v>0</v>
      </c>
      <c r="L212" s="291">
        <f t="shared" si="19"/>
        <v>0</v>
      </c>
      <c r="M212" s="291">
        <f t="shared" si="20"/>
        <v>0</v>
      </c>
      <c r="N212" s="295">
        <f t="shared" si="21"/>
        <v>1.064108801074326E-10</v>
      </c>
    </row>
    <row r="213" spans="2:14" x14ac:dyDescent="0.45">
      <c r="B213" s="294"/>
      <c r="C213" s="291"/>
      <c r="D213" s="291"/>
      <c r="E213" s="291"/>
      <c r="F213" s="291"/>
      <c r="G213" s="295"/>
      <c r="I213" s="294">
        <f t="shared" si="22"/>
        <v>51441</v>
      </c>
      <c r="J213" s="291">
        <f t="shared" si="23"/>
        <v>1.064108801074326E-10</v>
      </c>
      <c r="K213" s="291">
        <f t="shared" si="18"/>
        <v>0</v>
      </c>
      <c r="L213" s="291">
        <f t="shared" si="19"/>
        <v>0</v>
      </c>
      <c r="M213" s="291">
        <f t="shared" si="20"/>
        <v>0</v>
      </c>
      <c r="N213" s="295">
        <f t="shared" si="21"/>
        <v>1.064108801074326E-10</v>
      </c>
    </row>
    <row r="214" spans="2:14" x14ac:dyDescent="0.45">
      <c r="B214" s="294"/>
      <c r="C214" s="291"/>
      <c r="D214" s="291"/>
      <c r="E214" s="291"/>
      <c r="F214" s="291"/>
      <c r="G214" s="295"/>
      <c r="I214" s="294">
        <f t="shared" si="22"/>
        <v>51471</v>
      </c>
      <c r="J214" s="291">
        <f t="shared" si="23"/>
        <v>1.064108801074326E-10</v>
      </c>
      <c r="K214" s="291">
        <f t="shared" si="18"/>
        <v>0</v>
      </c>
      <c r="L214" s="291">
        <f t="shared" si="19"/>
        <v>0</v>
      </c>
      <c r="M214" s="291">
        <f t="shared" si="20"/>
        <v>0</v>
      </c>
      <c r="N214" s="295">
        <f t="shared" si="21"/>
        <v>1.064108801074326E-10</v>
      </c>
    </row>
    <row r="215" spans="2:14" x14ac:dyDescent="0.45">
      <c r="B215" s="294"/>
      <c r="C215" s="291"/>
      <c r="D215" s="291"/>
      <c r="E215" s="291"/>
      <c r="F215" s="291"/>
      <c r="G215" s="295"/>
      <c r="I215" s="294">
        <f t="shared" si="22"/>
        <v>51502</v>
      </c>
      <c r="J215" s="291">
        <f t="shared" si="23"/>
        <v>1.064108801074326E-10</v>
      </c>
      <c r="K215" s="291">
        <f t="shared" si="18"/>
        <v>0</v>
      </c>
      <c r="L215" s="291">
        <f t="shared" si="19"/>
        <v>0</v>
      </c>
      <c r="M215" s="291">
        <f t="shared" si="20"/>
        <v>0</v>
      </c>
      <c r="N215" s="295">
        <f t="shared" si="21"/>
        <v>1.064108801074326E-10</v>
      </c>
    </row>
    <row r="216" spans="2:14" x14ac:dyDescent="0.45">
      <c r="B216" s="294"/>
      <c r="C216" s="291"/>
      <c r="D216" s="291"/>
      <c r="E216" s="291"/>
      <c r="F216" s="291"/>
      <c r="G216" s="295"/>
      <c r="I216" s="294">
        <f t="shared" si="22"/>
        <v>51533</v>
      </c>
      <c r="J216" s="291">
        <f t="shared" si="23"/>
        <v>1.064108801074326E-10</v>
      </c>
      <c r="K216" s="291">
        <f t="shared" si="18"/>
        <v>0</v>
      </c>
      <c r="L216" s="291">
        <f t="shared" si="19"/>
        <v>0</v>
      </c>
      <c r="M216" s="291">
        <f t="shared" si="20"/>
        <v>0</v>
      </c>
      <c r="N216" s="295">
        <f t="shared" si="21"/>
        <v>1.064108801074326E-10</v>
      </c>
    </row>
    <row r="217" spans="2:14" x14ac:dyDescent="0.45">
      <c r="B217" s="294"/>
      <c r="C217" s="291"/>
      <c r="D217" s="291"/>
      <c r="E217" s="291"/>
      <c r="F217" s="291"/>
      <c r="G217" s="295"/>
      <c r="I217" s="294">
        <f t="shared" si="22"/>
        <v>51561</v>
      </c>
      <c r="J217" s="291">
        <f t="shared" si="23"/>
        <v>1.064108801074326E-10</v>
      </c>
      <c r="K217" s="291">
        <f t="shared" si="18"/>
        <v>0</v>
      </c>
      <c r="L217" s="291">
        <f t="shared" si="19"/>
        <v>0</v>
      </c>
      <c r="M217" s="291">
        <f t="shared" si="20"/>
        <v>0</v>
      </c>
      <c r="N217" s="295">
        <f t="shared" si="21"/>
        <v>1.064108801074326E-10</v>
      </c>
    </row>
    <row r="218" spans="2:14" x14ac:dyDescent="0.45">
      <c r="B218" s="294"/>
      <c r="C218" s="291"/>
      <c r="D218" s="291"/>
      <c r="E218" s="291"/>
      <c r="F218" s="291"/>
      <c r="G218" s="295"/>
      <c r="I218" s="294">
        <f t="shared" si="22"/>
        <v>51592</v>
      </c>
      <c r="J218" s="291">
        <f t="shared" si="23"/>
        <v>1.064108801074326E-10</v>
      </c>
      <c r="K218" s="291">
        <f t="shared" si="18"/>
        <v>0</v>
      </c>
      <c r="L218" s="291">
        <f t="shared" si="19"/>
        <v>0</v>
      </c>
      <c r="M218" s="291">
        <f t="shared" si="20"/>
        <v>0</v>
      </c>
      <c r="N218" s="295">
        <f t="shared" si="21"/>
        <v>1.064108801074326E-10</v>
      </c>
    </row>
    <row r="219" spans="2:14" x14ac:dyDescent="0.45">
      <c r="B219" s="294"/>
      <c r="C219" s="291"/>
      <c r="D219" s="291"/>
      <c r="E219" s="291"/>
      <c r="F219" s="291"/>
      <c r="G219" s="295"/>
      <c r="I219" s="294">
        <f t="shared" si="22"/>
        <v>51622</v>
      </c>
      <c r="J219" s="291">
        <f t="shared" si="23"/>
        <v>1.064108801074326E-10</v>
      </c>
      <c r="K219" s="291">
        <f t="shared" si="18"/>
        <v>0</v>
      </c>
      <c r="L219" s="291">
        <f t="shared" si="19"/>
        <v>0</v>
      </c>
      <c r="M219" s="291">
        <f t="shared" si="20"/>
        <v>0</v>
      </c>
      <c r="N219" s="295">
        <f t="shared" si="21"/>
        <v>1.064108801074326E-10</v>
      </c>
    </row>
    <row r="220" spans="2:14" x14ac:dyDescent="0.45">
      <c r="B220" s="294"/>
      <c r="C220" s="291"/>
      <c r="D220" s="291"/>
      <c r="E220" s="291"/>
      <c r="F220" s="291"/>
      <c r="G220" s="295"/>
      <c r="I220" s="294">
        <f t="shared" si="22"/>
        <v>51653</v>
      </c>
      <c r="J220" s="291">
        <f t="shared" si="23"/>
        <v>1.064108801074326E-10</v>
      </c>
      <c r="K220" s="291">
        <f t="shared" si="18"/>
        <v>0</v>
      </c>
      <c r="L220" s="291">
        <f t="shared" si="19"/>
        <v>0</v>
      </c>
      <c r="M220" s="291">
        <f t="shared" si="20"/>
        <v>0</v>
      </c>
      <c r="N220" s="295">
        <f t="shared" si="21"/>
        <v>1.064108801074326E-10</v>
      </c>
    </row>
    <row r="221" spans="2:14" x14ac:dyDescent="0.45">
      <c r="B221" s="294"/>
      <c r="C221" s="291"/>
      <c r="D221" s="291"/>
      <c r="E221" s="291"/>
      <c r="F221" s="291"/>
      <c r="G221" s="295"/>
      <c r="I221" s="294">
        <f t="shared" si="22"/>
        <v>51683</v>
      </c>
      <c r="J221" s="291">
        <f t="shared" si="23"/>
        <v>1.064108801074326E-10</v>
      </c>
      <c r="K221" s="291">
        <f t="shared" si="18"/>
        <v>0</v>
      </c>
      <c r="L221" s="291">
        <f t="shared" si="19"/>
        <v>0</v>
      </c>
      <c r="M221" s="291">
        <f t="shared" si="20"/>
        <v>0</v>
      </c>
      <c r="N221" s="295">
        <f t="shared" si="21"/>
        <v>1.064108801074326E-10</v>
      </c>
    </row>
    <row r="222" spans="2:14" x14ac:dyDescent="0.45">
      <c r="B222" s="294"/>
      <c r="C222" s="291"/>
      <c r="D222" s="291"/>
      <c r="E222" s="291"/>
      <c r="F222" s="291"/>
      <c r="G222" s="295"/>
      <c r="I222" s="294">
        <f t="shared" si="22"/>
        <v>51714</v>
      </c>
      <c r="J222" s="291">
        <f t="shared" si="23"/>
        <v>1.064108801074326E-10</v>
      </c>
      <c r="K222" s="291">
        <f t="shared" si="18"/>
        <v>0</v>
      </c>
      <c r="L222" s="291">
        <f t="shared" si="19"/>
        <v>0</v>
      </c>
      <c r="M222" s="291">
        <f t="shared" si="20"/>
        <v>0</v>
      </c>
      <c r="N222" s="295">
        <f t="shared" si="21"/>
        <v>1.064108801074326E-10</v>
      </c>
    </row>
    <row r="223" spans="2:14" x14ac:dyDescent="0.45">
      <c r="B223" s="294"/>
      <c r="C223" s="291"/>
      <c r="D223" s="291"/>
      <c r="E223" s="291"/>
      <c r="F223" s="291"/>
      <c r="G223" s="295"/>
      <c r="I223" s="294">
        <f t="shared" si="22"/>
        <v>51745</v>
      </c>
      <c r="J223" s="291">
        <f t="shared" si="23"/>
        <v>1.064108801074326E-10</v>
      </c>
      <c r="K223" s="291">
        <f t="shared" si="18"/>
        <v>0</v>
      </c>
      <c r="L223" s="291">
        <f t="shared" si="19"/>
        <v>0</v>
      </c>
      <c r="M223" s="291">
        <f t="shared" si="20"/>
        <v>0</v>
      </c>
      <c r="N223" s="295">
        <f t="shared" si="21"/>
        <v>1.064108801074326E-10</v>
      </c>
    </row>
    <row r="224" spans="2:14" x14ac:dyDescent="0.45">
      <c r="B224" s="294"/>
      <c r="C224" s="291"/>
      <c r="D224" s="291"/>
      <c r="E224" s="291"/>
      <c r="F224" s="291"/>
      <c r="G224" s="295"/>
      <c r="I224" s="294">
        <f t="shared" si="22"/>
        <v>51775</v>
      </c>
      <c r="J224" s="291">
        <f t="shared" si="23"/>
        <v>1.064108801074326E-10</v>
      </c>
      <c r="K224" s="291">
        <f t="shared" si="18"/>
        <v>0</v>
      </c>
      <c r="L224" s="291">
        <f t="shared" si="19"/>
        <v>0</v>
      </c>
      <c r="M224" s="291">
        <f t="shared" si="20"/>
        <v>0</v>
      </c>
      <c r="N224" s="295">
        <f t="shared" si="21"/>
        <v>1.064108801074326E-10</v>
      </c>
    </row>
    <row r="225" spans="2:14" x14ac:dyDescent="0.45">
      <c r="B225" s="294"/>
      <c r="C225" s="291"/>
      <c r="D225" s="291"/>
      <c r="E225" s="291"/>
      <c r="F225" s="291"/>
      <c r="G225" s="295"/>
      <c r="I225" s="294">
        <f t="shared" si="22"/>
        <v>51806</v>
      </c>
      <c r="J225" s="291">
        <f t="shared" si="23"/>
        <v>1.064108801074326E-10</v>
      </c>
      <c r="K225" s="291">
        <f t="shared" si="18"/>
        <v>0</v>
      </c>
      <c r="L225" s="291">
        <f t="shared" si="19"/>
        <v>0</v>
      </c>
      <c r="M225" s="291">
        <f t="shared" si="20"/>
        <v>0</v>
      </c>
      <c r="N225" s="295">
        <f t="shared" si="21"/>
        <v>1.064108801074326E-10</v>
      </c>
    </row>
    <row r="226" spans="2:14" x14ac:dyDescent="0.45">
      <c r="B226" s="294"/>
      <c r="C226" s="291"/>
      <c r="D226" s="291"/>
      <c r="E226" s="291"/>
      <c r="F226" s="291"/>
      <c r="G226" s="295"/>
      <c r="I226" s="294">
        <f t="shared" si="22"/>
        <v>51836</v>
      </c>
      <c r="J226" s="291">
        <f t="shared" si="23"/>
        <v>1.064108801074326E-10</v>
      </c>
      <c r="K226" s="291">
        <f t="shared" si="18"/>
        <v>0</v>
      </c>
      <c r="L226" s="291">
        <f t="shared" si="19"/>
        <v>0</v>
      </c>
      <c r="M226" s="291">
        <f t="shared" si="20"/>
        <v>0</v>
      </c>
      <c r="N226" s="295">
        <f t="shared" si="21"/>
        <v>1.064108801074326E-10</v>
      </c>
    </row>
    <row r="227" spans="2:14" x14ac:dyDescent="0.45">
      <c r="B227" s="294"/>
      <c r="C227" s="291"/>
      <c r="D227" s="291"/>
      <c r="E227" s="291"/>
      <c r="F227" s="291"/>
      <c r="G227" s="295"/>
      <c r="I227" s="294">
        <f t="shared" si="22"/>
        <v>51867</v>
      </c>
      <c r="J227" s="291">
        <f t="shared" si="23"/>
        <v>1.064108801074326E-10</v>
      </c>
      <c r="K227" s="291">
        <f t="shared" si="18"/>
        <v>0</v>
      </c>
      <c r="L227" s="291">
        <f t="shared" si="19"/>
        <v>0</v>
      </c>
      <c r="M227" s="291">
        <f t="shared" si="20"/>
        <v>0</v>
      </c>
      <c r="N227" s="295">
        <f t="shared" si="21"/>
        <v>1.064108801074326E-10</v>
      </c>
    </row>
    <row r="228" spans="2:14" x14ac:dyDescent="0.45">
      <c r="B228" s="294"/>
      <c r="C228" s="291"/>
      <c r="D228" s="291"/>
      <c r="E228" s="291"/>
      <c r="F228" s="291"/>
      <c r="G228" s="295"/>
      <c r="I228" s="294">
        <f t="shared" si="22"/>
        <v>51898</v>
      </c>
      <c r="J228" s="291">
        <f t="shared" si="23"/>
        <v>1.064108801074326E-10</v>
      </c>
      <c r="K228" s="291">
        <f t="shared" si="18"/>
        <v>0</v>
      </c>
      <c r="L228" s="291">
        <f t="shared" si="19"/>
        <v>0</v>
      </c>
      <c r="M228" s="291">
        <f t="shared" si="20"/>
        <v>0</v>
      </c>
      <c r="N228" s="295">
        <f t="shared" si="21"/>
        <v>1.064108801074326E-10</v>
      </c>
    </row>
    <row r="229" spans="2:14" x14ac:dyDescent="0.45">
      <c r="B229" s="294"/>
      <c r="C229" s="291"/>
      <c r="D229" s="291"/>
      <c r="E229" s="291"/>
      <c r="F229" s="291"/>
      <c r="G229" s="295"/>
      <c r="I229" s="294">
        <f t="shared" si="22"/>
        <v>51926</v>
      </c>
      <c r="J229" s="291">
        <f t="shared" si="23"/>
        <v>1.064108801074326E-10</v>
      </c>
      <c r="K229" s="291">
        <f t="shared" si="18"/>
        <v>0</v>
      </c>
      <c r="L229" s="291">
        <f t="shared" si="19"/>
        <v>0</v>
      </c>
      <c r="M229" s="291">
        <f t="shared" si="20"/>
        <v>0</v>
      </c>
      <c r="N229" s="295">
        <f t="shared" si="21"/>
        <v>1.064108801074326E-10</v>
      </c>
    </row>
    <row r="230" spans="2:14" x14ac:dyDescent="0.45">
      <c r="B230" s="294"/>
      <c r="C230" s="291"/>
      <c r="D230" s="291"/>
      <c r="E230" s="291"/>
      <c r="F230" s="291"/>
      <c r="G230" s="295"/>
      <c r="I230" s="294">
        <f t="shared" si="22"/>
        <v>51957</v>
      </c>
      <c r="J230" s="291">
        <f t="shared" si="23"/>
        <v>1.064108801074326E-10</v>
      </c>
      <c r="K230" s="291">
        <f t="shared" si="18"/>
        <v>0</v>
      </c>
      <c r="L230" s="291">
        <f t="shared" si="19"/>
        <v>0</v>
      </c>
      <c r="M230" s="291">
        <f t="shared" si="20"/>
        <v>0</v>
      </c>
      <c r="N230" s="295">
        <f t="shared" si="21"/>
        <v>1.064108801074326E-10</v>
      </c>
    </row>
    <row r="231" spans="2:14" x14ac:dyDescent="0.45">
      <c r="B231" s="294"/>
      <c r="C231" s="291"/>
      <c r="D231" s="291"/>
      <c r="E231" s="291"/>
      <c r="F231" s="291"/>
      <c r="G231" s="295"/>
      <c r="I231" s="294">
        <f t="shared" si="22"/>
        <v>51987</v>
      </c>
      <c r="J231" s="291">
        <f t="shared" si="23"/>
        <v>1.064108801074326E-10</v>
      </c>
      <c r="K231" s="291">
        <f t="shared" si="18"/>
        <v>0</v>
      </c>
      <c r="L231" s="291">
        <f t="shared" si="19"/>
        <v>0</v>
      </c>
      <c r="M231" s="291">
        <f t="shared" si="20"/>
        <v>0</v>
      </c>
      <c r="N231" s="295">
        <f t="shared" si="21"/>
        <v>1.064108801074326E-10</v>
      </c>
    </row>
    <row r="232" spans="2:14" x14ac:dyDescent="0.45">
      <c r="B232" s="294"/>
      <c r="C232" s="291"/>
      <c r="D232" s="291"/>
      <c r="E232" s="291"/>
      <c r="F232" s="291"/>
      <c r="G232" s="295"/>
      <c r="I232" s="294">
        <f t="shared" si="22"/>
        <v>52018</v>
      </c>
      <c r="J232" s="291">
        <f t="shared" si="23"/>
        <v>1.064108801074326E-10</v>
      </c>
      <c r="K232" s="291">
        <f t="shared" si="18"/>
        <v>0</v>
      </c>
      <c r="L232" s="291">
        <f t="shared" si="19"/>
        <v>0</v>
      </c>
      <c r="M232" s="291">
        <f t="shared" si="20"/>
        <v>0</v>
      </c>
      <c r="N232" s="295">
        <f t="shared" si="21"/>
        <v>1.064108801074326E-10</v>
      </c>
    </row>
    <row r="233" spans="2:14" x14ac:dyDescent="0.45">
      <c r="B233" s="294"/>
      <c r="C233" s="291"/>
      <c r="D233" s="291"/>
      <c r="E233" s="291"/>
      <c r="F233" s="291"/>
      <c r="G233" s="295"/>
      <c r="I233" s="294">
        <f t="shared" si="22"/>
        <v>52048</v>
      </c>
      <c r="J233" s="291">
        <f t="shared" si="23"/>
        <v>1.064108801074326E-10</v>
      </c>
      <c r="K233" s="291">
        <f t="shared" si="18"/>
        <v>0</v>
      </c>
      <c r="L233" s="291">
        <f t="shared" si="19"/>
        <v>0</v>
      </c>
      <c r="M233" s="291">
        <f t="shared" si="20"/>
        <v>0</v>
      </c>
      <c r="N233" s="295">
        <f t="shared" si="21"/>
        <v>1.064108801074326E-10</v>
      </c>
    </row>
    <row r="234" spans="2:14" x14ac:dyDescent="0.45">
      <c r="B234" s="294"/>
      <c r="C234" s="291"/>
      <c r="D234" s="291"/>
      <c r="E234" s="291"/>
      <c r="F234" s="291"/>
      <c r="G234" s="295"/>
      <c r="I234" s="294">
        <f t="shared" si="22"/>
        <v>52079</v>
      </c>
      <c r="J234" s="291">
        <f t="shared" si="23"/>
        <v>1.064108801074326E-10</v>
      </c>
      <c r="K234" s="291">
        <f t="shared" si="18"/>
        <v>0</v>
      </c>
      <c r="L234" s="291">
        <f t="shared" si="19"/>
        <v>0</v>
      </c>
      <c r="M234" s="291">
        <f t="shared" si="20"/>
        <v>0</v>
      </c>
      <c r="N234" s="295">
        <f t="shared" si="21"/>
        <v>1.064108801074326E-10</v>
      </c>
    </row>
    <row r="235" spans="2:14" x14ac:dyDescent="0.45">
      <c r="B235" s="294"/>
      <c r="C235" s="291"/>
      <c r="D235" s="291"/>
      <c r="E235" s="291"/>
      <c r="F235" s="291"/>
      <c r="G235" s="295"/>
      <c r="I235" s="294">
        <f t="shared" si="22"/>
        <v>52110</v>
      </c>
      <c r="J235" s="291">
        <f t="shared" si="23"/>
        <v>1.064108801074326E-10</v>
      </c>
      <c r="K235" s="291">
        <f t="shared" si="18"/>
        <v>0</v>
      </c>
      <c r="L235" s="291">
        <f t="shared" si="19"/>
        <v>0</v>
      </c>
      <c r="M235" s="291">
        <f t="shared" si="20"/>
        <v>0</v>
      </c>
      <c r="N235" s="295">
        <f t="shared" si="21"/>
        <v>1.064108801074326E-10</v>
      </c>
    </row>
    <row r="236" spans="2:14" x14ac:dyDescent="0.45">
      <c r="B236" s="294"/>
      <c r="C236" s="291"/>
      <c r="D236" s="291"/>
      <c r="E236" s="291"/>
      <c r="F236" s="291"/>
      <c r="G236" s="295"/>
      <c r="I236" s="294">
        <f t="shared" si="22"/>
        <v>52140</v>
      </c>
      <c r="J236" s="291">
        <f t="shared" si="23"/>
        <v>1.064108801074326E-10</v>
      </c>
      <c r="K236" s="291">
        <f t="shared" si="18"/>
        <v>0</v>
      </c>
      <c r="L236" s="291">
        <f t="shared" si="19"/>
        <v>0</v>
      </c>
      <c r="M236" s="291">
        <f t="shared" si="20"/>
        <v>0</v>
      </c>
      <c r="N236" s="295">
        <f t="shared" si="21"/>
        <v>1.064108801074326E-10</v>
      </c>
    </row>
    <row r="237" spans="2:14" x14ac:dyDescent="0.45">
      <c r="B237" s="294"/>
      <c r="C237" s="291"/>
      <c r="D237" s="291"/>
      <c r="E237" s="291"/>
      <c r="F237" s="291"/>
      <c r="G237" s="295"/>
      <c r="I237" s="294">
        <f t="shared" si="22"/>
        <v>52171</v>
      </c>
      <c r="J237" s="291">
        <f t="shared" si="23"/>
        <v>1.064108801074326E-10</v>
      </c>
      <c r="K237" s="291">
        <f t="shared" si="18"/>
        <v>0</v>
      </c>
      <c r="L237" s="291">
        <f t="shared" si="19"/>
        <v>0</v>
      </c>
      <c r="M237" s="291">
        <f t="shared" si="20"/>
        <v>0</v>
      </c>
      <c r="N237" s="295">
        <f t="shared" si="21"/>
        <v>1.064108801074326E-10</v>
      </c>
    </row>
    <row r="238" spans="2:14" x14ac:dyDescent="0.45">
      <c r="B238" s="294"/>
      <c r="C238" s="291"/>
      <c r="D238" s="291"/>
      <c r="E238" s="291"/>
      <c r="F238" s="291"/>
      <c r="G238" s="295"/>
      <c r="I238" s="294">
        <f t="shared" si="22"/>
        <v>52201</v>
      </c>
      <c r="J238" s="291">
        <f t="shared" si="23"/>
        <v>1.064108801074326E-10</v>
      </c>
      <c r="K238" s="291">
        <f t="shared" si="18"/>
        <v>0</v>
      </c>
      <c r="L238" s="291">
        <f t="shared" si="19"/>
        <v>0</v>
      </c>
      <c r="M238" s="291">
        <f t="shared" si="20"/>
        <v>0</v>
      </c>
      <c r="N238" s="295">
        <f t="shared" si="21"/>
        <v>1.064108801074326E-10</v>
      </c>
    </row>
    <row r="239" spans="2:14" x14ac:dyDescent="0.45">
      <c r="B239" s="294"/>
      <c r="C239" s="291"/>
      <c r="D239" s="291"/>
      <c r="E239" s="291"/>
      <c r="F239" s="291"/>
      <c r="G239" s="295"/>
      <c r="I239" s="294">
        <f t="shared" si="22"/>
        <v>52232</v>
      </c>
      <c r="J239" s="291">
        <f t="shared" si="23"/>
        <v>1.064108801074326E-10</v>
      </c>
      <c r="K239" s="291">
        <f t="shared" si="18"/>
        <v>0</v>
      </c>
      <c r="L239" s="291">
        <f t="shared" si="19"/>
        <v>0</v>
      </c>
      <c r="M239" s="291">
        <f t="shared" si="20"/>
        <v>0</v>
      </c>
      <c r="N239" s="295">
        <f t="shared" si="21"/>
        <v>1.064108801074326E-10</v>
      </c>
    </row>
    <row r="240" spans="2:14" x14ac:dyDescent="0.45">
      <c r="B240" s="294"/>
      <c r="C240" s="291"/>
      <c r="D240" s="291"/>
      <c r="E240" s="291"/>
      <c r="F240" s="291"/>
      <c r="G240" s="295"/>
      <c r="I240" s="294">
        <f t="shared" si="22"/>
        <v>52263</v>
      </c>
      <c r="J240" s="291">
        <f t="shared" si="23"/>
        <v>1.064108801074326E-10</v>
      </c>
      <c r="K240" s="291">
        <f t="shared" si="18"/>
        <v>0</v>
      </c>
      <c r="L240" s="291">
        <f t="shared" si="19"/>
        <v>0</v>
      </c>
      <c r="M240" s="291">
        <f t="shared" si="20"/>
        <v>0</v>
      </c>
      <c r="N240" s="295">
        <f t="shared" si="21"/>
        <v>1.064108801074326E-10</v>
      </c>
    </row>
    <row r="241" spans="2:14" x14ac:dyDescent="0.45">
      <c r="B241" s="294"/>
      <c r="C241" s="291"/>
      <c r="D241" s="291"/>
      <c r="E241" s="291"/>
      <c r="F241" s="291"/>
      <c r="G241" s="295"/>
      <c r="I241" s="294">
        <f t="shared" si="22"/>
        <v>52291</v>
      </c>
      <c r="J241" s="291">
        <f t="shared" si="23"/>
        <v>1.064108801074326E-10</v>
      </c>
      <c r="K241" s="291">
        <f t="shared" si="18"/>
        <v>0</v>
      </c>
      <c r="L241" s="291">
        <f t="shared" si="19"/>
        <v>0</v>
      </c>
      <c r="M241" s="291">
        <f t="shared" si="20"/>
        <v>0</v>
      </c>
      <c r="N241" s="295">
        <f t="shared" si="21"/>
        <v>1.064108801074326E-10</v>
      </c>
    </row>
    <row r="242" spans="2:14" x14ac:dyDescent="0.45">
      <c r="B242" s="294"/>
      <c r="C242" s="291"/>
      <c r="D242" s="291"/>
      <c r="E242" s="291"/>
      <c r="F242" s="291"/>
      <c r="G242" s="295"/>
      <c r="I242" s="294">
        <f t="shared" si="22"/>
        <v>52322</v>
      </c>
      <c r="J242" s="291">
        <f t="shared" si="23"/>
        <v>1.064108801074326E-10</v>
      </c>
      <c r="K242" s="291">
        <f t="shared" si="18"/>
        <v>0</v>
      </c>
      <c r="L242" s="291">
        <f t="shared" si="19"/>
        <v>0</v>
      </c>
      <c r="M242" s="291">
        <f t="shared" si="20"/>
        <v>0</v>
      </c>
      <c r="N242" s="295">
        <f t="shared" si="21"/>
        <v>1.064108801074326E-10</v>
      </c>
    </row>
    <row r="243" spans="2:14" x14ac:dyDescent="0.45">
      <c r="B243" s="294"/>
      <c r="C243" s="291"/>
      <c r="D243" s="291"/>
      <c r="E243" s="291"/>
      <c r="F243" s="291"/>
      <c r="G243" s="295"/>
      <c r="I243" s="294">
        <f t="shared" si="22"/>
        <v>52352</v>
      </c>
      <c r="J243" s="291">
        <f t="shared" si="23"/>
        <v>1.064108801074326E-10</v>
      </c>
      <c r="K243" s="291">
        <f t="shared" si="18"/>
        <v>0</v>
      </c>
      <c r="L243" s="291">
        <f t="shared" si="19"/>
        <v>0</v>
      </c>
      <c r="M243" s="291">
        <f t="shared" si="20"/>
        <v>0</v>
      </c>
      <c r="N243" s="295">
        <f t="shared" si="21"/>
        <v>1.064108801074326E-10</v>
      </c>
    </row>
    <row r="244" spans="2:14" x14ac:dyDescent="0.45">
      <c r="B244" s="294"/>
      <c r="C244" s="291"/>
      <c r="D244" s="291"/>
      <c r="E244" s="291"/>
      <c r="F244" s="291"/>
      <c r="G244" s="295"/>
      <c r="I244" s="294">
        <f t="shared" si="22"/>
        <v>52383</v>
      </c>
      <c r="J244" s="291">
        <f t="shared" si="23"/>
        <v>1.064108801074326E-10</v>
      </c>
      <c r="K244" s="291">
        <f t="shared" si="18"/>
        <v>0</v>
      </c>
      <c r="L244" s="291">
        <f t="shared" si="19"/>
        <v>0</v>
      </c>
      <c r="M244" s="291">
        <f t="shared" si="20"/>
        <v>0</v>
      </c>
      <c r="N244" s="295">
        <f t="shared" si="21"/>
        <v>1.064108801074326E-10</v>
      </c>
    </row>
    <row r="245" spans="2:14" x14ac:dyDescent="0.45">
      <c r="B245" s="294"/>
      <c r="C245" s="291"/>
      <c r="D245" s="291"/>
      <c r="E245" s="291"/>
      <c r="F245" s="291"/>
      <c r="G245" s="295"/>
      <c r="I245" s="294">
        <f t="shared" si="22"/>
        <v>52413</v>
      </c>
      <c r="J245" s="291">
        <f t="shared" si="23"/>
        <v>1.064108801074326E-10</v>
      </c>
      <c r="K245" s="291">
        <f t="shared" si="18"/>
        <v>0</v>
      </c>
      <c r="L245" s="291">
        <f t="shared" si="19"/>
        <v>0</v>
      </c>
      <c r="M245" s="291">
        <f t="shared" si="20"/>
        <v>0</v>
      </c>
      <c r="N245" s="295">
        <f t="shared" si="21"/>
        <v>1.064108801074326E-10</v>
      </c>
    </row>
    <row r="246" spans="2:14" x14ac:dyDescent="0.45">
      <c r="B246" s="294"/>
      <c r="C246" s="291"/>
      <c r="D246" s="291"/>
      <c r="E246" s="291"/>
      <c r="F246" s="291"/>
      <c r="G246" s="295"/>
      <c r="I246" s="294">
        <f t="shared" si="22"/>
        <v>52444</v>
      </c>
      <c r="J246" s="291">
        <f t="shared" si="23"/>
        <v>1.064108801074326E-10</v>
      </c>
      <c r="K246" s="291">
        <f t="shared" si="18"/>
        <v>0</v>
      </c>
      <c r="L246" s="291">
        <f t="shared" si="19"/>
        <v>0</v>
      </c>
      <c r="M246" s="291">
        <f t="shared" si="20"/>
        <v>0</v>
      </c>
      <c r="N246" s="295">
        <f t="shared" si="21"/>
        <v>1.064108801074326E-10</v>
      </c>
    </row>
    <row r="247" spans="2:14" x14ac:dyDescent="0.45">
      <c r="B247" s="294"/>
      <c r="C247" s="291"/>
      <c r="D247" s="291"/>
      <c r="E247" s="291"/>
      <c r="F247" s="291"/>
      <c r="G247" s="295"/>
      <c r="I247" s="294">
        <f t="shared" si="22"/>
        <v>52475</v>
      </c>
      <c r="J247" s="291">
        <f t="shared" si="23"/>
        <v>1.064108801074326E-10</v>
      </c>
      <c r="K247" s="291">
        <f t="shared" si="18"/>
        <v>0</v>
      </c>
      <c r="L247" s="291">
        <f t="shared" si="19"/>
        <v>0</v>
      </c>
      <c r="M247" s="291">
        <f t="shared" si="20"/>
        <v>0</v>
      </c>
      <c r="N247" s="295">
        <f t="shared" si="21"/>
        <v>1.064108801074326E-10</v>
      </c>
    </row>
    <row r="248" spans="2:14" x14ac:dyDescent="0.45">
      <c r="B248" s="294"/>
      <c r="C248" s="291"/>
      <c r="D248" s="291"/>
      <c r="E248" s="291"/>
      <c r="F248" s="291"/>
      <c r="G248" s="295"/>
      <c r="I248" s="294">
        <f t="shared" si="22"/>
        <v>52505</v>
      </c>
      <c r="J248" s="291">
        <f t="shared" si="23"/>
        <v>1.064108801074326E-10</v>
      </c>
      <c r="K248" s="291">
        <f t="shared" si="18"/>
        <v>0</v>
      </c>
      <c r="L248" s="291">
        <f t="shared" si="19"/>
        <v>0</v>
      </c>
      <c r="M248" s="291">
        <f t="shared" si="20"/>
        <v>0</v>
      </c>
      <c r="N248" s="295">
        <f t="shared" si="21"/>
        <v>1.064108801074326E-10</v>
      </c>
    </row>
    <row r="249" spans="2:14" x14ac:dyDescent="0.45">
      <c r="B249" s="294"/>
      <c r="C249" s="291"/>
      <c r="D249" s="291"/>
      <c r="E249" s="291"/>
      <c r="F249" s="291"/>
      <c r="G249" s="295"/>
      <c r="I249" s="294">
        <f t="shared" si="22"/>
        <v>52536</v>
      </c>
      <c r="J249" s="291">
        <f t="shared" si="23"/>
        <v>1.064108801074326E-10</v>
      </c>
      <c r="K249" s="291">
        <f t="shared" si="18"/>
        <v>0</v>
      </c>
      <c r="L249" s="291">
        <f t="shared" si="19"/>
        <v>0</v>
      </c>
      <c r="M249" s="291">
        <f t="shared" si="20"/>
        <v>0</v>
      </c>
      <c r="N249" s="295">
        <f t="shared" si="21"/>
        <v>1.064108801074326E-10</v>
      </c>
    </row>
    <row r="250" spans="2:14" x14ac:dyDescent="0.45">
      <c r="B250" s="294"/>
      <c r="C250" s="291"/>
      <c r="D250" s="291"/>
      <c r="E250" s="291"/>
      <c r="F250" s="291"/>
      <c r="G250" s="295"/>
      <c r="I250" s="294">
        <f t="shared" si="22"/>
        <v>52566</v>
      </c>
      <c r="J250" s="291">
        <f t="shared" si="23"/>
        <v>1.064108801074326E-10</v>
      </c>
      <c r="K250" s="291">
        <f t="shared" si="18"/>
        <v>0</v>
      </c>
      <c r="L250" s="291">
        <f t="shared" si="19"/>
        <v>0</v>
      </c>
      <c r="M250" s="291">
        <f t="shared" si="20"/>
        <v>0</v>
      </c>
      <c r="N250" s="295">
        <f t="shared" si="21"/>
        <v>1.064108801074326E-10</v>
      </c>
    </row>
    <row r="251" spans="2:14" x14ac:dyDescent="0.45">
      <c r="B251" s="294"/>
      <c r="C251" s="291"/>
      <c r="D251" s="291"/>
      <c r="E251" s="291"/>
      <c r="F251" s="291"/>
      <c r="G251" s="295"/>
      <c r="I251" s="294">
        <f t="shared" si="22"/>
        <v>52597</v>
      </c>
      <c r="J251" s="291">
        <f t="shared" si="23"/>
        <v>1.064108801074326E-10</v>
      </c>
      <c r="K251" s="291">
        <f t="shared" si="18"/>
        <v>0</v>
      </c>
      <c r="L251" s="291">
        <f t="shared" si="19"/>
        <v>0</v>
      </c>
      <c r="M251" s="291">
        <f t="shared" si="20"/>
        <v>0</v>
      </c>
      <c r="N251" s="295">
        <f t="shared" si="21"/>
        <v>1.064108801074326E-10</v>
      </c>
    </row>
    <row r="252" spans="2:14" x14ac:dyDescent="0.45">
      <c r="B252" s="294"/>
      <c r="C252" s="291"/>
      <c r="D252" s="291"/>
      <c r="E252" s="291"/>
      <c r="F252" s="291"/>
      <c r="G252" s="295"/>
      <c r="I252" s="294">
        <f t="shared" si="22"/>
        <v>52628</v>
      </c>
      <c r="J252" s="291">
        <f t="shared" si="23"/>
        <v>1.064108801074326E-10</v>
      </c>
      <c r="K252" s="291">
        <f t="shared" si="18"/>
        <v>0</v>
      </c>
      <c r="L252" s="291">
        <f t="shared" si="19"/>
        <v>0</v>
      </c>
      <c r="M252" s="291">
        <f t="shared" si="20"/>
        <v>0</v>
      </c>
      <c r="N252" s="295">
        <f t="shared" si="21"/>
        <v>1.064108801074326E-10</v>
      </c>
    </row>
    <row r="253" spans="2:14" x14ac:dyDescent="0.45">
      <c r="B253" s="294"/>
      <c r="C253" s="291"/>
      <c r="D253" s="291"/>
      <c r="E253" s="291"/>
      <c r="F253" s="291"/>
      <c r="G253" s="295"/>
      <c r="I253" s="294">
        <f t="shared" si="22"/>
        <v>52657</v>
      </c>
      <c r="J253" s="291">
        <f t="shared" si="23"/>
        <v>1.064108801074326E-10</v>
      </c>
      <c r="K253" s="291">
        <f t="shared" si="18"/>
        <v>0</v>
      </c>
      <c r="L253" s="291">
        <f t="shared" si="19"/>
        <v>0</v>
      </c>
      <c r="M253" s="291">
        <f t="shared" si="20"/>
        <v>0</v>
      </c>
      <c r="N253" s="295">
        <f t="shared" si="21"/>
        <v>1.064108801074326E-10</v>
      </c>
    </row>
    <row r="254" spans="2:14" x14ac:dyDescent="0.45">
      <c r="B254" s="294"/>
      <c r="C254" s="291"/>
      <c r="D254" s="291"/>
      <c r="E254" s="291"/>
      <c r="F254" s="291"/>
      <c r="G254" s="295"/>
      <c r="I254" s="294">
        <f t="shared" si="22"/>
        <v>52688</v>
      </c>
      <c r="J254" s="291">
        <f t="shared" si="23"/>
        <v>1.064108801074326E-10</v>
      </c>
      <c r="K254" s="291">
        <f t="shared" si="18"/>
        <v>0</v>
      </c>
      <c r="L254" s="291">
        <f t="shared" si="19"/>
        <v>0</v>
      </c>
      <c r="M254" s="291">
        <f t="shared" si="20"/>
        <v>0</v>
      </c>
      <c r="N254" s="295">
        <f t="shared" si="21"/>
        <v>1.064108801074326E-10</v>
      </c>
    </row>
    <row r="255" spans="2:14" x14ac:dyDescent="0.45">
      <c r="B255" s="294"/>
      <c r="C255" s="291"/>
      <c r="D255" s="291"/>
      <c r="E255" s="291"/>
      <c r="F255" s="291"/>
      <c r="G255" s="295"/>
      <c r="I255" s="294">
        <f t="shared" si="22"/>
        <v>52718</v>
      </c>
      <c r="J255" s="291">
        <f t="shared" si="23"/>
        <v>1.064108801074326E-10</v>
      </c>
      <c r="K255" s="291">
        <f t="shared" si="18"/>
        <v>0</v>
      </c>
      <c r="L255" s="291">
        <f t="shared" si="19"/>
        <v>0</v>
      </c>
      <c r="M255" s="291">
        <f t="shared" si="20"/>
        <v>0</v>
      </c>
      <c r="N255" s="295">
        <f t="shared" si="21"/>
        <v>1.064108801074326E-10</v>
      </c>
    </row>
    <row r="256" spans="2:14" x14ac:dyDescent="0.45">
      <c r="B256" s="294"/>
      <c r="C256" s="291"/>
      <c r="D256" s="291"/>
      <c r="E256" s="291"/>
      <c r="F256" s="291"/>
      <c r="G256" s="295"/>
      <c r="I256" s="294">
        <f t="shared" si="22"/>
        <v>52749</v>
      </c>
      <c r="J256" s="291">
        <f t="shared" si="23"/>
        <v>1.064108801074326E-10</v>
      </c>
      <c r="K256" s="291">
        <f t="shared" si="18"/>
        <v>0</v>
      </c>
      <c r="L256" s="291">
        <f t="shared" si="19"/>
        <v>0</v>
      </c>
      <c r="M256" s="291">
        <f t="shared" si="20"/>
        <v>0</v>
      </c>
      <c r="N256" s="295">
        <f t="shared" si="21"/>
        <v>1.064108801074326E-10</v>
      </c>
    </row>
    <row r="257" spans="2:14" x14ac:dyDescent="0.45">
      <c r="B257" s="294"/>
      <c r="C257" s="291"/>
      <c r="D257" s="291"/>
      <c r="E257" s="291"/>
      <c r="F257" s="291"/>
      <c r="G257" s="295"/>
      <c r="I257" s="294">
        <f t="shared" si="22"/>
        <v>52779</v>
      </c>
      <c r="J257" s="291">
        <f t="shared" si="23"/>
        <v>1.064108801074326E-10</v>
      </c>
      <c r="K257" s="291">
        <f t="shared" si="18"/>
        <v>0</v>
      </c>
      <c r="L257" s="291">
        <f t="shared" si="19"/>
        <v>0</v>
      </c>
      <c r="M257" s="291">
        <f t="shared" si="20"/>
        <v>0</v>
      </c>
      <c r="N257" s="295">
        <f t="shared" si="21"/>
        <v>1.064108801074326E-10</v>
      </c>
    </row>
    <row r="258" spans="2:14" x14ac:dyDescent="0.45">
      <c r="B258" s="294"/>
      <c r="C258" s="291"/>
      <c r="D258" s="291"/>
      <c r="E258" s="291"/>
      <c r="F258" s="291"/>
      <c r="G258" s="295"/>
      <c r="I258" s="294">
        <f t="shared" si="22"/>
        <v>52810</v>
      </c>
      <c r="J258" s="291">
        <f t="shared" si="23"/>
        <v>1.064108801074326E-10</v>
      </c>
      <c r="K258" s="291">
        <f t="shared" si="18"/>
        <v>0</v>
      </c>
      <c r="L258" s="291">
        <f t="shared" si="19"/>
        <v>0</v>
      </c>
      <c r="M258" s="291">
        <f t="shared" si="20"/>
        <v>0</v>
      </c>
      <c r="N258" s="295">
        <f t="shared" si="21"/>
        <v>1.064108801074326E-10</v>
      </c>
    </row>
    <row r="259" spans="2:14" x14ac:dyDescent="0.45">
      <c r="B259" s="294"/>
      <c r="C259" s="291"/>
      <c r="D259" s="291"/>
      <c r="E259" s="291"/>
      <c r="F259" s="291"/>
      <c r="G259" s="295"/>
      <c r="I259" s="294">
        <f t="shared" si="22"/>
        <v>52841</v>
      </c>
      <c r="J259" s="291">
        <f t="shared" si="23"/>
        <v>1.064108801074326E-10</v>
      </c>
      <c r="K259" s="291">
        <f t="shared" si="18"/>
        <v>0</v>
      </c>
      <c r="L259" s="291">
        <f t="shared" si="19"/>
        <v>0</v>
      </c>
      <c r="M259" s="291">
        <f t="shared" si="20"/>
        <v>0</v>
      </c>
      <c r="N259" s="295">
        <f t="shared" si="21"/>
        <v>1.064108801074326E-10</v>
      </c>
    </row>
    <row r="260" spans="2:14" x14ac:dyDescent="0.45">
      <c r="B260" s="294"/>
      <c r="C260" s="291"/>
      <c r="D260" s="291"/>
      <c r="E260" s="291"/>
      <c r="F260" s="291"/>
      <c r="G260" s="295"/>
      <c r="I260" s="294">
        <f t="shared" si="22"/>
        <v>52871</v>
      </c>
      <c r="J260" s="291">
        <f t="shared" si="23"/>
        <v>1.064108801074326E-10</v>
      </c>
      <c r="K260" s="291">
        <f t="shared" si="18"/>
        <v>0</v>
      </c>
      <c r="L260" s="291">
        <f t="shared" si="19"/>
        <v>0</v>
      </c>
      <c r="M260" s="291">
        <f t="shared" si="20"/>
        <v>0</v>
      </c>
      <c r="N260" s="295">
        <f t="shared" si="21"/>
        <v>1.064108801074326E-10</v>
      </c>
    </row>
    <row r="261" spans="2:14" x14ac:dyDescent="0.45">
      <c r="B261" s="294"/>
      <c r="C261" s="291"/>
      <c r="D261" s="291"/>
      <c r="E261" s="291"/>
      <c r="F261" s="291"/>
      <c r="G261" s="295"/>
      <c r="I261" s="294">
        <f t="shared" si="22"/>
        <v>52902</v>
      </c>
      <c r="J261" s="291">
        <f t="shared" si="23"/>
        <v>1.064108801074326E-10</v>
      </c>
      <c r="K261" s="291">
        <f t="shared" si="18"/>
        <v>0</v>
      </c>
      <c r="L261" s="291">
        <f t="shared" si="19"/>
        <v>0</v>
      </c>
      <c r="M261" s="291">
        <f t="shared" si="20"/>
        <v>0</v>
      </c>
      <c r="N261" s="295">
        <f t="shared" si="21"/>
        <v>1.064108801074326E-10</v>
      </c>
    </row>
    <row r="262" spans="2:14" x14ac:dyDescent="0.45">
      <c r="B262" s="294"/>
      <c r="C262" s="291"/>
      <c r="D262" s="291"/>
      <c r="E262" s="291"/>
      <c r="F262" s="291"/>
      <c r="G262" s="295"/>
      <c r="I262" s="294">
        <f t="shared" si="22"/>
        <v>52932</v>
      </c>
      <c r="J262" s="291">
        <f t="shared" si="23"/>
        <v>1.064108801074326E-10</v>
      </c>
      <c r="K262" s="291">
        <f t="shared" si="18"/>
        <v>0</v>
      </c>
      <c r="L262" s="291">
        <f t="shared" si="19"/>
        <v>0</v>
      </c>
      <c r="M262" s="291">
        <f t="shared" si="20"/>
        <v>0</v>
      </c>
      <c r="N262" s="295">
        <f t="shared" si="21"/>
        <v>1.064108801074326E-10</v>
      </c>
    </row>
    <row r="263" spans="2:14" x14ac:dyDescent="0.45">
      <c r="B263" s="294"/>
      <c r="C263" s="291"/>
      <c r="D263" s="291"/>
      <c r="E263" s="291"/>
      <c r="F263" s="291"/>
      <c r="G263" s="295"/>
      <c r="I263" s="294">
        <f t="shared" si="22"/>
        <v>52963</v>
      </c>
      <c r="J263" s="291">
        <f t="shared" si="23"/>
        <v>1.064108801074326E-10</v>
      </c>
      <c r="K263" s="291">
        <f t="shared" si="18"/>
        <v>0</v>
      </c>
      <c r="L263" s="291">
        <f t="shared" si="19"/>
        <v>0</v>
      </c>
      <c r="M263" s="291">
        <f t="shared" si="20"/>
        <v>0</v>
      </c>
      <c r="N263" s="295">
        <f t="shared" si="21"/>
        <v>1.064108801074326E-10</v>
      </c>
    </row>
    <row r="264" spans="2:14" x14ac:dyDescent="0.45">
      <c r="B264" s="294"/>
      <c r="C264" s="291"/>
      <c r="D264" s="291"/>
      <c r="E264" s="291"/>
      <c r="F264" s="291"/>
      <c r="G264" s="295"/>
      <c r="I264" s="294">
        <f t="shared" si="22"/>
        <v>52994</v>
      </c>
      <c r="J264" s="291">
        <f t="shared" si="23"/>
        <v>1.064108801074326E-10</v>
      </c>
      <c r="K264" s="291">
        <f t="shared" si="18"/>
        <v>0</v>
      </c>
      <c r="L264" s="291">
        <f t="shared" si="19"/>
        <v>0</v>
      </c>
      <c r="M264" s="291">
        <f t="shared" si="20"/>
        <v>0</v>
      </c>
      <c r="N264" s="295">
        <f t="shared" si="21"/>
        <v>1.064108801074326E-10</v>
      </c>
    </row>
    <row r="265" spans="2:14" x14ac:dyDescent="0.45">
      <c r="B265" s="294"/>
      <c r="C265" s="291"/>
      <c r="D265" s="291"/>
      <c r="E265" s="291"/>
      <c r="F265" s="291"/>
      <c r="G265" s="295"/>
      <c r="I265" s="294">
        <f t="shared" si="22"/>
        <v>53022</v>
      </c>
      <c r="J265" s="291">
        <f t="shared" si="23"/>
        <v>1.064108801074326E-10</v>
      </c>
      <c r="K265" s="291">
        <f t="shared" si="18"/>
        <v>0</v>
      </c>
      <c r="L265" s="291">
        <f t="shared" si="19"/>
        <v>0</v>
      </c>
      <c r="M265" s="291">
        <f t="shared" si="20"/>
        <v>0</v>
      </c>
      <c r="N265" s="295">
        <f t="shared" si="21"/>
        <v>1.064108801074326E-10</v>
      </c>
    </row>
    <row r="266" spans="2:14" x14ac:dyDescent="0.45">
      <c r="B266" s="294"/>
      <c r="C266" s="291"/>
      <c r="D266" s="291"/>
      <c r="E266" s="291"/>
      <c r="F266" s="291"/>
      <c r="G266" s="295"/>
      <c r="I266" s="294">
        <f t="shared" si="22"/>
        <v>53053</v>
      </c>
      <c r="J266" s="291">
        <f t="shared" si="23"/>
        <v>1.064108801074326E-10</v>
      </c>
      <c r="K266" s="291">
        <f t="shared" si="18"/>
        <v>0</v>
      </c>
      <c r="L266" s="291">
        <f t="shared" si="19"/>
        <v>0</v>
      </c>
      <c r="M266" s="291">
        <f t="shared" si="20"/>
        <v>0</v>
      </c>
      <c r="N266" s="295">
        <f t="shared" si="21"/>
        <v>1.064108801074326E-10</v>
      </c>
    </row>
    <row r="267" spans="2:14" x14ac:dyDescent="0.45">
      <c r="B267" s="294"/>
      <c r="C267" s="291"/>
      <c r="D267" s="291"/>
      <c r="E267" s="291"/>
      <c r="F267" s="291"/>
      <c r="G267" s="295"/>
      <c r="I267" s="294">
        <f t="shared" si="22"/>
        <v>53083</v>
      </c>
      <c r="J267" s="291">
        <f t="shared" si="23"/>
        <v>1.064108801074326E-10</v>
      </c>
      <c r="K267" s="291">
        <f t="shared" si="18"/>
        <v>0</v>
      </c>
      <c r="L267" s="291">
        <f t="shared" si="19"/>
        <v>0</v>
      </c>
      <c r="M267" s="291">
        <f t="shared" si="20"/>
        <v>0</v>
      </c>
      <c r="N267" s="295">
        <f t="shared" si="21"/>
        <v>1.064108801074326E-10</v>
      </c>
    </row>
    <row r="268" spans="2:14" x14ac:dyDescent="0.45">
      <c r="B268" s="294"/>
      <c r="C268" s="291"/>
      <c r="D268" s="291"/>
      <c r="E268" s="291"/>
      <c r="F268" s="291"/>
      <c r="G268" s="295"/>
      <c r="I268" s="294">
        <f t="shared" si="22"/>
        <v>53114</v>
      </c>
      <c r="J268" s="291">
        <f t="shared" si="23"/>
        <v>1.064108801074326E-10</v>
      </c>
      <c r="K268" s="291">
        <f t="shared" ref="K268:K331" si="24">IF(ROUNDDOWN(J268,0)=0,0,PMT($L$4/12,$L$7,-$L$8)+$L$5)</f>
        <v>0</v>
      </c>
      <c r="L268" s="291">
        <f t="shared" ref="L268:L331" si="25">IF(ROUNDDOWN(J268,0)=0,0,(J268*$L$4/12)+$L$5)</f>
        <v>0</v>
      </c>
      <c r="M268" s="291">
        <f t="shared" ref="M268:M331" si="26">K268-L268</f>
        <v>0</v>
      </c>
      <c r="N268" s="295">
        <f t="shared" ref="N268:N331" si="27">J268-M268</f>
        <v>1.064108801074326E-10</v>
      </c>
    </row>
    <row r="269" spans="2:14" x14ac:dyDescent="0.45">
      <c r="B269" s="294"/>
      <c r="C269" s="291"/>
      <c r="D269" s="291"/>
      <c r="E269" s="291"/>
      <c r="F269" s="291"/>
      <c r="G269" s="295"/>
      <c r="I269" s="294">
        <f t="shared" ref="I269:I332" si="28">EDATE(I268,1)</f>
        <v>53144</v>
      </c>
      <c r="J269" s="291">
        <f t="shared" ref="J269:J332" si="29">N268</f>
        <v>1.064108801074326E-10</v>
      </c>
      <c r="K269" s="291">
        <f t="shared" si="24"/>
        <v>0</v>
      </c>
      <c r="L269" s="291">
        <f t="shared" si="25"/>
        <v>0</v>
      </c>
      <c r="M269" s="291">
        <f t="shared" si="26"/>
        <v>0</v>
      </c>
      <c r="N269" s="295">
        <f t="shared" si="27"/>
        <v>1.064108801074326E-10</v>
      </c>
    </row>
    <row r="270" spans="2:14" x14ac:dyDescent="0.45">
      <c r="B270" s="294"/>
      <c r="C270" s="291"/>
      <c r="D270" s="291"/>
      <c r="E270" s="291"/>
      <c r="F270" s="291"/>
      <c r="G270" s="295"/>
      <c r="I270" s="294">
        <f t="shared" si="28"/>
        <v>53175</v>
      </c>
      <c r="J270" s="291">
        <f t="shared" si="29"/>
        <v>1.064108801074326E-10</v>
      </c>
      <c r="K270" s="291">
        <f t="shared" si="24"/>
        <v>0</v>
      </c>
      <c r="L270" s="291">
        <f t="shared" si="25"/>
        <v>0</v>
      </c>
      <c r="M270" s="291">
        <f t="shared" si="26"/>
        <v>0</v>
      </c>
      <c r="N270" s="295">
        <f t="shared" si="27"/>
        <v>1.064108801074326E-10</v>
      </c>
    </row>
    <row r="271" spans="2:14" x14ac:dyDescent="0.45">
      <c r="B271" s="294"/>
      <c r="C271" s="291"/>
      <c r="D271" s="291"/>
      <c r="E271" s="291"/>
      <c r="F271" s="291"/>
      <c r="G271" s="295"/>
      <c r="I271" s="294">
        <f t="shared" si="28"/>
        <v>53206</v>
      </c>
      <c r="J271" s="291">
        <f t="shared" si="29"/>
        <v>1.064108801074326E-10</v>
      </c>
      <c r="K271" s="291">
        <f t="shared" si="24"/>
        <v>0</v>
      </c>
      <c r="L271" s="291">
        <f t="shared" si="25"/>
        <v>0</v>
      </c>
      <c r="M271" s="291">
        <f t="shared" si="26"/>
        <v>0</v>
      </c>
      <c r="N271" s="295">
        <f t="shared" si="27"/>
        <v>1.064108801074326E-10</v>
      </c>
    </row>
    <row r="272" spans="2:14" x14ac:dyDescent="0.45">
      <c r="B272" s="294"/>
      <c r="C272" s="291"/>
      <c r="D272" s="291"/>
      <c r="E272" s="291"/>
      <c r="F272" s="291"/>
      <c r="G272" s="295"/>
      <c r="I272" s="294">
        <f t="shared" si="28"/>
        <v>53236</v>
      </c>
      <c r="J272" s="291">
        <f t="shared" si="29"/>
        <v>1.064108801074326E-10</v>
      </c>
      <c r="K272" s="291">
        <f t="shared" si="24"/>
        <v>0</v>
      </c>
      <c r="L272" s="291">
        <f t="shared" si="25"/>
        <v>0</v>
      </c>
      <c r="M272" s="291">
        <f t="shared" si="26"/>
        <v>0</v>
      </c>
      <c r="N272" s="295">
        <f t="shared" si="27"/>
        <v>1.064108801074326E-10</v>
      </c>
    </row>
    <row r="273" spans="2:14" x14ac:dyDescent="0.45">
      <c r="B273" s="294"/>
      <c r="C273" s="291"/>
      <c r="D273" s="291"/>
      <c r="E273" s="291"/>
      <c r="F273" s="291"/>
      <c r="G273" s="295"/>
      <c r="I273" s="294">
        <f t="shared" si="28"/>
        <v>53267</v>
      </c>
      <c r="J273" s="291">
        <f t="shared" si="29"/>
        <v>1.064108801074326E-10</v>
      </c>
      <c r="K273" s="291">
        <f t="shared" si="24"/>
        <v>0</v>
      </c>
      <c r="L273" s="291">
        <f t="shared" si="25"/>
        <v>0</v>
      </c>
      <c r="M273" s="291">
        <f t="shared" si="26"/>
        <v>0</v>
      </c>
      <c r="N273" s="295">
        <f t="shared" si="27"/>
        <v>1.064108801074326E-10</v>
      </c>
    </row>
    <row r="274" spans="2:14" x14ac:dyDescent="0.45">
      <c r="B274" s="294"/>
      <c r="C274" s="291"/>
      <c r="D274" s="291"/>
      <c r="E274" s="291"/>
      <c r="F274" s="291"/>
      <c r="G274" s="295"/>
      <c r="I274" s="294">
        <f t="shared" si="28"/>
        <v>53297</v>
      </c>
      <c r="J274" s="291">
        <f t="shared" si="29"/>
        <v>1.064108801074326E-10</v>
      </c>
      <c r="K274" s="291">
        <f t="shared" si="24"/>
        <v>0</v>
      </c>
      <c r="L274" s="291">
        <f t="shared" si="25"/>
        <v>0</v>
      </c>
      <c r="M274" s="291">
        <f t="shared" si="26"/>
        <v>0</v>
      </c>
      <c r="N274" s="295">
        <f t="shared" si="27"/>
        <v>1.064108801074326E-10</v>
      </c>
    </row>
    <row r="275" spans="2:14" x14ac:dyDescent="0.45">
      <c r="B275" s="294"/>
      <c r="C275" s="291"/>
      <c r="D275" s="291"/>
      <c r="E275" s="291"/>
      <c r="F275" s="291"/>
      <c r="G275" s="295"/>
      <c r="I275" s="294">
        <f t="shared" si="28"/>
        <v>53328</v>
      </c>
      <c r="J275" s="291">
        <f t="shared" si="29"/>
        <v>1.064108801074326E-10</v>
      </c>
      <c r="K275" s="291">
        <f t="shared" si="24"/>
        <v>0</v>
      </c>
      <c r="L275" s="291">
        <f t="shared" si="25"/>
        <v>0</v>
      </c>
      <c r="M275" s="291">
        <f t="shared" si="26"/>
        <v>0</v>
      </c>
      <c r="N275" s="295">
        <f t="shared" si="27"/>
        <v>1.064108801074326E-10</v>
      </c>
    </row>
    <row r="276" spans="2:14" x14ac:dyDescent="0.45">
      <c r="B276" s="294"/>
      <c r="C276" s="291"/>
      <c r="D276" s="291"/>
      <c r="E276" s="291"/>
      <c r="F276" s="291"/>
      <c r="G276" s="295"/>
      <c r="I276" s="294">
        <f t="shared" si="28"/>
        <v>53359</v>
      </c>
      <c r="J276" s="291">
        <f t="shared" si="29"/>
        <v>1.064108801074326E-10</v>
      </c>
      <c r="K276" s="291">
        <f t="shared" si="24"/>
        <v>0</v>
      </c>
      <c r="L276" s="291">
        <f t="shared" si="25"/>
        <v>0</v>
      </c>
      <c r="M276" s="291">
        <f t="shared" si="26"/>
        <v>0</v>
      </c>
      <c r="N276" s="295">
        <f t="shared" si="27"/>
        <v>1.064108801074326E-10</v>
      </c>
    </row>
    <row r="277" spans="2:14" x14ac:dyDescent="0.45">
      <c r="B277" s="294"/>
      <c r="C277" s="291"/>
      <c r="D277" s="291"/>
      <c r="E277" s="291"/>
      <c r="F277" s="291"/>
      <c r="G277" s="295"/>
      <c r="I277" s="294">
        <f t="shared" si="28"/>
        <v>53387</v>
      </c>
      <c r="J277" s="291">
        <f t="shared" si="29"/>
        <v>1.064108801074326E-10</v>
      </c>
      <c r="K277" s="291">
        <f t="shared" si="24"/>
        <v>0</v>
      </c>
      <c r="L277" s="291">
        <f t="shared" si="25"/>
        <v>0</v>
      </c>
      <c r="M277" s="291">
        <f t="shared" si="26"/>
        <v>0</v>
      </c>
      <c r="N277" s="295">
        <f t="shared" si="27"/>
        <v>1.064108801074326E-10</v>
      </c>
    </row>
    <row r="278" spans="2:14" x14ac:dyDescent="0.45">
      <c r="B278" s="294"/>
      <c r="C278" s="291"/>
      <c r="D278" s="291"/>
      <c r="E278" s="291"/>
      <c r="F278" s="291"/>
      <c r="G278" s="295"/>
      <c r="I278" s="294">
        <f t="shared" si="28"/>
        <v>53418</v>
      </c>
      <c r="J278" s="291">
        <f t="shared" si="29"/>
        <v>1.064108801074326E-10</v>
      </c>
      <c r="K278" s="291">
        <f t="shared" si="24"/>
        <v>0</v>
      </c>
      <c r="L278" s="291">
        <f t="shared" si="25"/>
        <v>0</v>
      </c>
      <c r="M278" s="291">
        <f t="shared" si="26"/>
        <v>0</v>
      </c>
      <c r="N278" s="295">
        <f t="shared" si="27"/>
        <v>1.064108801074326E-10</v>
      </c>
    </row>
    <row r="279" spans="2:14" x14ac:dyDescent="0.45">
      <c r="B279" s="294"/>
      <c r="C279" s="291"/>
      <c r="D279" s="291"/>
      <c r="E279" s="291"/>
      <c r="F279" s="291"/>
      <c r="G279" s="295"/>
      <c r="I279" s="294">
        <f t="shared" si="28"/>
        <v>53448</v>
      </c>
      <c r="J279" s="291">
        <f t="shared" si="29"/>
        <v>1.064108801074326E-10</v>
      </c>
      <c r="K279" s="291">
        <f t="shared" si="24"/>
        <v>0</v>
      </c>
      <c r="L279" s="291">
        <f t="shared" si="25"/>
        <v>0</v>
      </c>
      <c r="M279" s="291">
        <f t="shared" si="26"/>
        <v>0</v>
      </c>
      <c r="N279" s="295">
        <f t="shared" si="27"/>
        <v>1.064108801074326E-10</v>
      </c>
    </row>
    <row r="280" spans="2:14" x14ac:dyDescent="0.45">
      <c r="B280" s="294"/>
      <c r="C280" s="291"/>
      <c r="D280" s="291"/>
      <c r="E280" s="291"/>
      <c r="F280" s="291"/>
      <c r="G280" s="295"/>
      <c r="I280" s="294">
        <f t="shared" si="28"/>
        <v>53479</v>
      </c>
      <c r="J280" s="291">
        <f t="shared" si="29"/>
        <v>1.064108801074326E-10</v>
      </c>
      <c r="K280" s="291">
        <f t="shared" si="24"/>
        <v>0</v>
      </c>
      <c r="L280" s="291">
        <f t="shared" si="25"/>
        <v>0</v>
      </c>
      <c r="M280" s="291">
        <f t="shared" si="26"/>
        <v>0</v>
      </c>
      <c r="N280" s="295">
        <f t="shared" si="27"/>
        <v>1.064108801074326E-10</v>
      </c>
    </row>
    <row r="281" spans="2:14" x14ac:dyDescent="0.45">
      <c r="B281" s="294"/>
      <c r="C281" s="291"/>
      <c r="D281" s="291"/>
      <c r="E281" s="291"/>
      <c r="F281" s="291"/>
      <c r="G281" s="295"/>
      <c r="I281" s="294">
        <f t="shared" si="28"/>
        <v>53509</v>
      </c>
      <c r="J281" s="291">
        <f t="shared" si="29"/>
        <v>1.064108801074326E-10</v>
      </c>
      <c r="K281" s="291">
        <f t="shared" si="24"/>
        <v>0</v>
      </c>
      <c r="L281" s="291">
        <f t="shared" si="25"/>
        <v>0</v>
      </c>
      <c r="M281" s="291">
        <f t="shared" si="26"/>
        <v>0</v>
      </c>
      <c r="N281" s="295">
        <f t="shared" si="27"/>
        <v>1.064108801074326E-10</v>
      </c>
    </row>
    <row r="282" spans="2:14" x14ac:dyDescent="0.45">
      <c r="B282" s="294"/>
      <c r="C282" s="291"/>
      <c r="D282" s="291"/>
      <c r="E282" s="291"/>
      <c r="F282" s="291"/>
      <c r="G282" s="295"/>
      <c r="I282" s="294">
        <f t="shared" si="28"/>
        <v>53540</v>
      </c>
      <c r="J282" s="291">
        <f t="shared" si="29"/>
        <v>1.064108801074326E-10</v>
      </c>
      <c r="K282" s="291">
        <f t="shared" si="24"/>
        <v>0</v>
      </c>
      <c r="L282" s="291">
        <f t="shared" si="25"/>
        <v>0</v>
      </c>
      <c r="M282" s="291">
        <f t="shared" si="26"/>
        <v>0</v>
      </c>
      <c r="N282" s="295">
        <f t="shared" si="27"/>
        <v>1.064108801074326E-10</v>
      </c>
    </row>
    <row r="283" spans="2:14" x14ac:dyDescent="0.45">
      <c r="B283" s="294"/>
      <c r="C283" s="291"/>
      <c r="D283" s="291"/>
      <c r="E283" s="291"/>
      <c r="F283" s="291"/>
      <c r="G283" s="295"/>
      <c r="I283" s="294">
        <f t="shared" si="28"/>
        <v>53571</v>
      </c>
      <c r="J283" s="291">
        <f t="shared" si="29"/>
        <v>1.064108801074326E-10</v>
      </c>
      <c r="K283" s="291">
        <f t="shared" si="24"/>
        <v>0</v>
      </c>
      <c r="L283" s="291">
        <f t="shared" si="25"/>
        <v>0</v>
      </c>
      <c r="M283" s="291">
        <f t="shared" si="26"/>
        <v>0</v>
      </c>
      <c r="N283" s="295">
        <f t="shared" si="27"/>
        <v>1.064108801074326E-10</v>
      </c>
    </row>
    <row r="284" spans="2:14" x14ac:dyDescent="0.45">
      <c r="B284" s="294"/>
      <c r="C284" s="291"/>
      <c r="D284" s="291"/>
      <c r="E284" s="291"/>
      <c r="F284" s="291"/>
      <c r="G284" s="295"/>
      <c r="I284" s="294">
        <f t="shared" si="28"/>
        <v>53601</v>
      </c>
      <c r="J284" s="291">
        <f t="shared" si="29"/>
        <v>1.064108801074326E-10</v>
      </c>
      <c r="K284" s="291">
        <f t="shared" si="24"/>
        <v>0</v>
      </c>
      <c r="L284" s="291">
        <f t="shared" si="25"/>
        <v>0</v>
      </c>
      <c r="M284" s="291">
        <f t="shared" si="26"/>
        <v>0</v>
      </c>
      <c r="N284" s="295">
        <f t="shared" si="27"/>
        <v>1.064108801074326E-10</v>
      </c>
    </row>
    <row r="285" spans="2:14" x14ac:dyDescent="0.45">
      <c r="B285" s="294"/>
      <c r="C285" s="291"/>
      <c r="D285" s="291"/>
      <c r="E285" s="291"/>
      <c r="F285" s="291"/>
      <c r="G285" s="295"/>
      <c r="I285" s="294">
        <f t="shared" si="28"/>
        <v>53632</v>
      </c>
      <c r="J285" s="291">
        <f t="shared" si="29"/>
        <v>1.064108801074326E-10</v>
      </c>
      <c r="K285" s="291">
        <f t="shared" si="24"/>
        <v>0</v>
      </c>
      <c r="L285" s="291">
        <f t="shared" si="25"/>
        <v>0</v>
      </c>
      <c r="M285" s="291">
        <f t="shared" si="26"/>
        <v>0</v>
      </c>
      <c r="N285" s="295">
        <f t="shared" si="27"/>
        <v>1.064108801074326E-10</v>
      </c>
    </row>
    <row r="286" spans="2:14" x14ac:dyDescent="0.45">
      <c r="B286" s="294"/>
      <c r="C286" s="291"/>
      <c r="D286" s="291"/>
      <c r="E286" s="291"/>
      <c r="F286" s="291"/>
      <c r="G286" s="295"/>
      <c r="I286" s="294">
        <f t="shared" si="28"/>
        <v>53662</v>
      </c>
      <c r="J286" s="291">
        <f t="shared" si="29"/>
        <v>1.064108801074326E-10</v>
      </c>
      <c r="K286" s="291">
        <f t="shared" si="24"/>
        <v>0</v>
      </c>
      <c r="L286" s="291">
        <f t="shared" si="25"/>
        <v>0</v>
      </c>
      <c r="M286" s="291">
        <f t="shared" si="26"/>
        <v>0</v>
      </c>
      <c r="N286" s="295">
        <f t="shared" si="27"/>
        <v>1.064108801074326E-10</v>
      </c>
    </row>
    <row r="287" spans="2:14" x14ac:dyDescent="0.45">
      <c r="B287" s="294"/>
      <c r="C287" s="291"/>
      <c r="D287" s="291"/>
      <c r="E287" s="291"/>
      <c r="F287" s="291"/>
      <c r="G287" s="295"/>
      <c r="I287" s="294">
        <f t="shared" si="28"/>
        <v>53693</v>
      </c>
      <c r="J287" s="291">
        <f t="shared" si="29"/>
        <v>1.064108801074326E-10</v>
      </c>
      <c r="K287" s="291">
        <f t="shared" si="24"/>
        <v>0</v>
      </c>
      <c r="L287" s="291">
        <f t="shared" si="25"/>
        <v>0</v>
      </c>
      <c r="M287" s="291">
        <f t="shared" si="26"/>
        <v>0</v>
      </c>
      <c r="N287" s="295">
        <f t="shared" si="27"/>
        <v>1.064108801074326E-10</v>
      </c>
    </row>
    <row r="288" spans="2:14" x14ac:dyDescent="0.45">
      <c r="B288" s="294"/>
      <c r="C288" s="291"/>
      <c r="D288" s="291"/>
      <c r="E288" s="291"/>
      <c r="F288" s="291"/>
      <c r="G288" s="295"/>
      <c r="I288" s="294">
        <f t="shared" si="28"/>
        <v>53724</v>
      </c>
      <c r="J288" s="291">
        <f t="shared" si="29"/>
        <v>1.064108801074326E-10</v>
      </c>
      <c r="K288" s="291">
        <f t="shared" si="24"/>
        <v>0</v>
      </c>
      <c r="L288" s="291">
        <f t="shared" si="25"/>
        <v>0</v>
      </c>
      <c r="M288" s="291">
        <f t="shared" si="26"/>
        <v>0</v>
      </c>
      <c r="N288" s="295">
        <f t="shared" si="27"/>
        <v>1.064108801074326E-10</v>
      </c>
    </row>
    <row r="289" spans="2:14" x14ac:dyDescent="0.45">
      <c r="B289" s="294"/>
      <c r="C289" s="291"/>
      <c r="D289" s="291"/>
      <c r="E289" s="291"/>
      <c r="F289" s="291"/>
      <c r="G289" s="295"/>
      <c r="I289" s="294">
        <f t="shared" si="28"/>
        <v>53752</v>
      </c>
      <c r="J289" s="291">
        <f t="shared" si="29"/>
        <v>1.064108801074326E-10</v>
      </c>
      <c r="K289" s="291">
        <f t="shared" si="24"/>
        <v>0</v>
      </c>
      <c r="L289" s="291">
        <f t="shared" si="25"/>
        <v>0</v>
      </c>
      <c r="M289" s="291">
        <f t="shared" si="26"/>
        <v>0</v>
      </c>
      <c r="N289" s="295">
        <f t="shared" si="27"/>
        <v>1.064108801074326E-10</v>
      </c>
    </row>
    <row r="290" spans="2:14" x14ac:dyDescent="0.45">
      <c r="B290" s="294"/>
      <c r="C290" s="291"/>
      <c r="D290" s="291"/>
      <c r="E290" s="291"/>
      <c r="F290" s="291"/>
      <c r="G290" s="295"/>
      <c r="I290" s="294">
        <f t="shared" si="28"/>
        <v>53783</v>
      </c>
      <c r="J290" s="291">
        <f t="shared" si="29"/>
        <v>1.064108801074326E-10</v>
      </c>
      <c r="K290" s="291">
        <f t="shared" si="24"/>
        <v>0</v>
      </c>
      <c r="L290" s="291">
        <f t="shared" si="25"/>
        <v>0</v>
      </c>
      <c r="M290" s="291">
        <f t="shared" si="26"/>
        <v>0</v>
      </c>
      <c r="N290" s="295">
        <f t="shared" si="27"/>
        <v>1.064108801074326E-10</v>
      </c>
    </row>
    <row r="291" spans="2:14" x14ac:dyDescent="0.45">
      <c r="B291" s="294"/>
      <c r="C291" s="291"/>
      <c r="D291" s="291"/>
      <c r="E291" s="291"/>
      <c r="F291" s="291"/>
      <c r="G291" s="295"/>
      <c r="I291" s="294">
        <f t="shared" si="28"/>
        <v>53813</v>
      </c>
      <c r="J291" s="291">
        <f t="shared" si="29"/>
        <v>1.064108801074326E-10</v>
      </c>
      <c r="K291" s="291">
        <f t="shared" si="24"/>
        <v>0</v>
      </c>
      <c r="L291" s="291">
        <f t="shared" si="25"/>
        <v>0</v>
      </c>
      <c r="M291" s="291">
        <f t="shared" si="26"/>
        <v>0</v>
      </c>
      <c r="N291" s="295">
        <f t="shared" si="27"/>
        <v>1.064108801074326E-10</v>
      </c>
    </row>
    <row r="292" spans="2:14" x14ac:dyDescent="0.45">
      <c r="B292" s="294"/>
      <c r="C292" s="291"/>
      <c r="D292" s="291"/>
      <c r="E292" s="291"/>
      <c r="F292" s="291"/>
      <c r="G292" s="295"/>
      <c r="I292" s="294">
        <f t="shared" si="28"/>
        <v>53844</v>
      </c>
      <c r="J292" s="291">
        <f t="shared" si="29"/>
        <v>1.064108801074326E-10</v>
      </c>
      <c r="K292" s="291">
        <f t="shared" si="24"/>
        <v>0</v>
      </c>
      <c r="L292" s="291">
        <f t="shared" si="25"/>
        <v>0</v>
      </c>
      <c r="M292" s="291">
        <f t="shared" si="26"/>
        <v>0</v>
      </c>
      <c r="N292" s="295">
        <f t="shared" si="27"/>
        <v>1.064108801074326E-10</v>
      </c>
    </row>
    <row r="293" spans="2:14" x14ac:dyDescent="0.45">
      <c r="B293" s="294"/>
      <c r="C293" s="291"/>
      <c r="D293" s="291"/>
      <c r="E293" s="291"/>
      <c r="F293" s="291"/>
      <c r="G293" s="295"/>
      <c r="I293" s="294">
        <f t="shared" si="28"/>
        <v>53874</v>
      </c>
      <c r="J293" s="291">
        <f t="shared" si="29"/>
        <v>1.064108801074326E-10</v>
      </c>
      <c r="K293" s="291">
        <f t="shared" si="24"/>
        <v>0</v>
      </c>
      <c r="L293" s="291">
        <f t="shared" si="25"/>
        <v>0</v>
      </c>
      <c r="M293" s="291">
        <f t="shared" si="26"/>
        <v>0</v>
      </c>
      <c r="N293" s="295">
        <f t="shared" si="27"/>
        <v>1.064108801074326E-10</v>
      </c>
    </row>
    <row r="294" spans="2:14" x14ac:dyDescent="0.45">
      <c r="B294" s="294"/>
      <c r="C294" s="291"/>
      <c r="D294" s="291"/>
      <c r="E294" s="291"/>
      <c r="F294" s="291"/>
      <c r="G294" s="295"/>
      <c r="I294" s="294">
        <f t="shared" si="28"/>
        <v>53905</v>
      </c>
      <c r="J294" s="291">
        <f t="shared" si="29"/>
        <v>1.064108801074326E-10</v>
      </c>
      <c r="K294" s="291">
        <f t="shared" si="24"/>
        <v>0</v>
      </c>
      <c r="L294" s="291">
        <f t="shared" si="25"/>
        <v>0</v>
      </c>
      <c r="M294" s="291">
        <f t="shared" si="26"/>
        <v>0</v>
      </c>
      <c r="N294" s="295">
        <f t="shared" si="27"/>
        <v>1.064108801074326E-10</v>
      </c>
    </row>
    <row r="295" spans="2:14" x14ac:dyDescent="0.45">
      <c r="B295" s="294"/>
      <c r="C295" s="291"/>
      <c r="D295" s="291"/>
      <c r="E295" s="291"/>
      <c r="F295" s="291"/>
      <c r="G295" s="295"/>
      <c r="I295" s="294">
        <f t="shared" si="28"/>
        <v>53936</v>
      </c>
      <c r="J295" s="291">
        <f t="shared" si="29"/>
        <v>1.064108801074326E-10</v>
      </c>
      <c r="K295" s="291">
        <f t="shared" si="24"/>
        <v>0</v>
      </c>
      <c r="L295" s="291">
        <f t="shared" si="25"/>
        <v>0</v>
      </c>
      <c r="M295" s="291">
        <f t="shared" si="26"/>
        <v>0</v>
      </c>
      <c r="N295" s="295">
        <f t="shared" si="27"/>
        <v>1.064108801074326E-10</v>
      </c>
    </row>
    <row r="296" spans="2:14" x14ac:dyDescent="0.45">
      <c r="B296" s="294"/>
      <c r="C296" s="291"/>
      <c r="D296" s="291"/>
      <c r="E296" s="291"/>
      <c r="F296" s="291"/>
      <c r="G296" s="295"/>
      <c r="I296" s="294">
        <f t="shared" si="28"/>
        <v>53966</v>
      </c>
      <c r="J296" s="291">
        <f t="shared" si="29"/>
        <v>1.064108801074326E-10</v>
      </c>
      <c r="K296" s="291">
        <f t="shared" si="24"/>
        <v>0</v>
      </c>
      <c r="L296" s="291">
        <f t="shared" si="25"/>
        <v>0</v>
      </c>
      <c r="M296" s="291">
        <f t="shared" si="26"/>
        <v>0</v>
      </c>
      <c r="N296" s="295">
        <f t="shared" si="27"/>
        <v>1.064108801074326E-10</v>
      </c>
    </row>
    <row r="297" spans="2:14" x14ac:dyDescent="0.45">
      <c r="B297" s="294"/>
      <c r="C297" s="291"/>
      <c r="D297" s="291"/>
      <c r="E297" s="291"/>
      <c r="F297" s="291"/>
      <c r="G297" s="295"/>
      <c r="I297" s="294">
        <f t="shared" si="28"/>
        <v>53997</v>
      </c>
      <c r="J297" s="291">
        <f t="shared" si="29"/>
        <v>1.064108801074326E-10</v>
      </c>
      <c r="K297" s="291">
        <f t="shared" si="24"/>
        <v>0</v>
      </c>
      <c r="L297" s="291">
        <f t="shared" si="25"/>
        <v>0</v>
      </c>
      <c r="M297" s="291">
        <f t="shared" si="26"/>
        <v>0</v>
      </c>
      <c r="N297" s="295">
        <f t="shared" si="27"/>
        <v>1.064108801074326E-10</v>
      </c>
    </row>
    <row r="298" spans="2:14" x14ac:dyDescent="0.45">
      <c r="B298" s="294"/>
      <c r="C298" s="291"/>
      <c r="D298" s="291"/>
      <c r="E298" s="291"/>
      <c r="F298" s="291"/>
      <c r="G298" s="295"/>
      <c r="I298" s="294">
        <f t="shared" si="28"/>
        <v>54027</v>
      </c>
      <c r="J298" s="291">
        <f t="shared" si="29"/>
        <v>1.064108801074326E-10</v>
      </c>
      <c r="K298" s="291">
        <f t="shared" si="24"/>
        <v>0</v>
      </c>
      <c r="L298" s="291">
        <f t="shared" si="25"/>
        <v>0</v>
      </c>
      <c r="M298" s="291">
        <f t="shared" si="26"/>
        <v>0</v>
      </c>
      <c r="N298" s="295">
        <f t="shared" si="27"/>
        <v>1.064108801074326E-10</v>
      </c>
    </row>
    <row r="299" spans="2:14" x14ac:dyDescent="0.45">
      <c r="B299" s="294"/>
      <c r="C299" s="291"/>
      <c r="D299" s="291"/>
      <c r="E299" s="291"/>
      <c r="F299" s="291"/>
      <c r="G299" s="295"/>
      <c r="I299" s="294">
        <f t="shared" si="28"/>
        <v>54058</v>
      </c>
      <c r="J299" s="291">
        <f t="shared" si="29"/>
        <v>1.064108801074326E-10</v>
      </c>
      <c r="K299" s="291">
        <f t="shared" si="24"/>
        <v>0</v>
      </c>
      <c r="L299" s="291">
        <f t="shared" si="25"/>
        <v>0</v>
      </c>
      <c r="M299" s="291">
        <f t="shared" si="26"/>
        <v>0</v>
      </c>
      <c r="N299" s="295">
        <f t="shared" si="27"/>
        <v>1.064108801074326E-10</v>
      </c>
    </row>
    <row r="300" spans="2:14" x14ac:dyDescent="0.45">
      <c r="B300" s="294"/>
      <c r="C300" s="291"/>
      <c r="D300" s="291"/>
      <c r="E300" s="291"/>
      <c r="F300" s="291"/>
      <c r="G300" s="295"/>
      <c r="I300" s="294">
        <f t="shared" si="28"/>
        <v>54089</v>
      </c>
      <c r="J300" s="291">
        <f t="shared" si="29"/>
        <v>1.064108801074326E-10</v>
      </c>
      <c r="K300" s="291">
        <f t="shared" si="24"/>
        <v>0</v>
      </c>
      <c r="L300" s="291">
        <f t="shared" si="25"/>
        <v>0</v>
      </c>
      <c r="M300" s="291">
        <f t="shared" si="26"/>
        <v>0</v>
      </c>
      <c r="N300" s="295">
        <f t="shared" si="27"/>
        <v>1.064108801074326E-10</v>
      </c>
    </row>
    <row r="301" spans="2:14" x14ac:dyDescent="0.45">
      <c r="B301" s="294"/>
      <c r="C301" s="291"/>
      <c r="D301" s="291"/>
      <c r="E301" s="291"/>
      <c r="F301" s="291"/>
      <c r="G301" s="295"/>
      <c r="I301" s="294">
        <f t="shared" si="28"/>
        <v>54118</v>
      </c>
      <c r="J301" s="291">
        <f t="shared" si="29"/>
        <v>1.064108801074326E-10</v>
      </c>
      <c r="K301" s="291">
        <f t="shared" si="24"/>
        <v>0</v>
      </c>
      <c r="L301" s="291">
        <f t="shared" si="25"/>
        <v>0</v>
      </c>
      <c r="M301" s="291">
        <f t="shared" si="26"/>
        <v>0</v>
      </c>
      <c r="N301" s="295">
        <f t="shared" si="27"/>
        <v>1.064108801074326E-10</v>
      </c>
    </row>
    <row r="302" spans="2:14" x14ac:dyDescent="0.45">
      <c r="B302" s="294"/>
      <c r="C302" s="291"/>
      <c r="D302" s="291"/>
      <c r="E302" s="291"/>
      <c r="F302" s="291"/>
      <c r="G302" s="295"/>
      <c r="I302" s="294">
        <f t="shared" si="28"/>
        <v>54149</v>
      </c>
      <c r="J302" s="291">
        <f t="shared" si="29"/>
        <v>1.064108801074326E-10</v>
      </c>
      <c r="K302" s="291">
        <f t="shared" si="24"/>
        <v>0</v>
      </c>
      <c r="L302" s="291">
        <f t="shared" si="25"/>
        <v>0</v>
      </c>
      <c r="M302" s="291">
        <f t="shared" si="26"/>
        <v>0</v>
      </c>
      <c r="N302" s="295">
        <f t="shared" si="27"/>
        <v>1.064108801074326E-10</v>
      </c>
    </row>
    <row r="303" spans="2:14" x14ac:dyDescent="0.45">
      <c r="B303" s="294"/>
      <c r="C303" s="291"/>
      <c r="D303" s="291"/>
      <c r="E303" s="291"/>
      <c r="F303" s="291"/>
      <c r="G303" s="295"/>
      <c r="I303" s="294">
        <f t="shared" si="28"/>
        <v>54179</v>
      </c>
      <c r="J303" s="291">
        <f t="shared" si="29"/>
        <v>1.064108801074326E-10</v>
      </c>
      <c r="K303" s="291">
        <f t="shared" si="24"/>
        <v>0</v>
      </c>
      <c r="L303" s="291">
        <f t="shared" si="25"/>
        <v>0</v>
      </c>
      <c r="M303" s="291">
        <f t="shared" si="26"/>
        <v>0</v>
      </c>
      <c r="N303" s="295">
        <f t="shared" si="27"/>
        <v>1.064108801074326E-10</v>
      </c>
    </row>
    <row r="304" spans="2:14" x14ac:dyDescent="0.45">
      <c r="B304" s="294"/>
      <c r="C304" s="291"/>
      <c r="D304" s="291"/>
      <c r="E304" s="291"/>
      <c r="F304" s="291"/>
      <c r="G304" s="295"/>
      <c r="I304" s="294">
        <f t="shared" si="28"/>
        <v>54210</v>
      </c>
      <c r="J304" s="291">
        <f t="shared" si="29"/>
        <v>1.064108801074326E-10</v>
      </c>
      <c r="K304" s="291">
        <f t="shared" si="24"/>
        <v>0</v>
      </c>
      <c r="L304" s="291">
        <f t="shared" si="25"/>
        <v>0</v>
      </c>
      <c r="M304" s="291">
        <f t="shared" si="26"/>
        <v>0</v>
      </c>
      <c r="N304" s="295">
        <f t="shared" si="27"/>
        <v>1.064108801074326E-10</v>
      </c>
    </row>
    <row r="305" spans="2:14" x14ac:dyDescent="0.45">
      <c r="B305" s="294"/>
      <c r="C305" s="291"/>
      <c r="D305" s="291"/>
      <c r="E305" s="291"/>
      <c r="F305" s="291"/>
      <c r="G305" s="295"/>
      <c r="I305" s="294">
        <f t="shared" si="28"/>
        <v>54240</v>
      </c>
      <c r="J305" s="291">
        <f t="shared" si="29"/>
        <v>1.064108801074326E-10</v>
      </c>
      <c r="K305" s="291">
        <f t="shared" si="24"/>
        <v>0</v>
      </c>
      <c r="L305" s="291">
        <f t="shared" si="25"/>
        <v>0</v>
      </c>
      <c r="M305" s="291">
        <f t="shared" si="26"/>
        <v>0</v>
      </c>
      <c r="N305" s="295">
        <f t="shared" si="27"/>
        <v>1.064108801074326E-10</v>
      </c>
    </row>
    <row r="306" spans="2:14" x14ac:dyDescent="0.45">
      <c r="B306" s="294"/>
      <c r="C306" s="291"/>
      <c r="D306" s="291"/>
      <c r="E306" s="291"/>
      <c r="F306" s="291"/>
      <c r="G306" s="295"/>
      <c r="I306" s="294">
        <f t="shared" si="28"/>
        <v>54271</v>
      </c>
      <c r="J306" s="291">
        <f t="shared" si="29"/>
        <v>1.064108801074326E-10</v>
      </c>
      <c r="K306" s="291">
        <f t="shared" si="24"/>
        <v>0</v>
      </c>
      <c r="L306" s="291">
        <f t="shared" si="25"/>
        <v>0</v>
      </c>
      <c r="M306" s="291">
        <f t="shared" si="26"/>
        <v>0</v>
      </c>
      <c r="N306" s="295">
        <f t="shared" si="27"/>
        <v>1.064108801074326E-10</v>
      </c>
    </row>
    <row r="307" spans="2:14" x14ac:dyDescent="0.45">
      <c r="B307" s="294"/>
      <c r="C307" s="291"/>
      <c r="D307" s="291"/>
      <c r="E307" s="291"/>
      <c r="F307" s="291"/>
      <c r="G307" s="295"/>
      <c r="I307" s="294">
        <f t="shared" si="28"/>
        <v>54302</v>
      </c>
      <c r="J307" s="291">
        <f t="shared" si="29"/>
        <v>1.064108801074326E-10</v>
      </c>
      <c r="K307" s="291">
        <f t="shared" si="24"/>
        <v>0</v>
      </c>
      <c r="L307" s="291">
        <f t="shared" si="25"/>
        <v>0</v>
      </c>
      <c r="M307" s="291">
        <f t="shared" si="26"/>
        <v>0</v>
      </c>
      <c r="N307" s="295">
        <f t="shared" si="27"/>
        <v>1.064108801074326E-10</v>
      </c>
    </row>
    <row r="308" spans="2:14" x14ac:dyDescent="0.45">
      <c r="B308" s="294"/>
      <c r="C308" s="291"/>
      <c r="D308" s="291"/>
      <c r="E308" s="291"/>
      <c r="F308" s="291"/>
      <c r="G308" s="295"/>
      <c r="I308" s="294">
        <f t="shared" si="28"/>
        <v>54332</v>
      </c>
      <c r="J308" s="291">
        <f t="shared" si="29"/>
        <v>1.064108801074326E-10</v>
      </c>
      <c r="K308" s="291">
        <f t="shared" si="24"/>
        <v>0</v>
      </c>
      <c r="L308" s="291">
        <f t="shared" si="25"/>
        <v>0</v>
      </c>
      <c r="M308" s="291">
        <f t="shared" si="26"/>
        <v>0</v>
      </c>
      <c r="N308" s="295">
        <f t="shared" si="27"/>
        <v>1.064108801074326E-10</v>
      </c>
    </row>
    <row r="309" spans="2:14" x14ac:dyDescent="0.45">
      <c r="B309" s="294"/>
      <c r="C309" s="291"/>
      <c r="D309" s="291"/>
      <c r="E309" s="291"/>
      <c r="F309" s="291"/>
      <c r="G309" s="295"/>
      <c r="I309" s="294">
        <f t="shared" si="28"/>
        <v>54363</v>
      </c>
      <c r="J309" s="291">
        <f t="shared" si="29"/>
        <v>1.064108801074326E-10</v>
      </c>
      <c r="K309" s="291">
        <f t="shared" si="24"/>
        <v>0</v>
      </c>
      <c r="L309" s="291">
        <f t="shared" si="25"/>
        <v>0</v>
      </c>
      <c r="M309" s="291">
        <f t="shared" si="26"/>
        <v>0</v>
      </c>
      <c r="N309" s="295">
        <f t="shared" si="27"/>
        <v>1.064108801074326E-10</v>
      </c>
    </row>
    <row r="310" spans="2:14" x14ac:dyDescent="0.45">
      <c r="B310" s="294"/>
      <c r="C310" s="291"/>
      <c r="D310" s="291"/>
      <c r="E310" s="291"/>
      <c r="F310" s="291"/>
      <c r="G310" s="295"/>
      <c r="I310" s="294">
        <f t="shared" si="28"/>
        <v>54393</v>
      </c>
      <c r="J310" s="291">
        <f t="shared" si="29"/>
        <v>1.064108801074326E-10</v>
      </c>
      <c r="K310" s="291">
        <f t="shared" si="24"/>
        <v>0</v>
      </c>
      <c r="L310" s="291">
        <f t="shared" si="25"/>
        <v>0</v>
      </c>
      <c r="M310" s="291">
        <f t="shared" si="26"/>
        <v>0</v>
      </c>
      <c r="N310" s="295">
        <f t="shared" si="27"/>
        <v>1.064108801074326E-10</v>
      </c>
    </row>
    <row r="311" spans="2:14" x14ac:dyDescent="0.45">
      <c r="B311" s="294"/>
      <c r="C311" s="291"/>
      <c r="D311" s="291"/>
      <c r="E311" s="291"/>
      <c r="F311" s="291"/>
      <c r="G311" s="295"/>
      <c r="I311" s="294">
        <f t="shared" si="28"/>
        <v>54424</v>
      </c>
      <c r="J311" s="291">
        <f t="shared" si="29"/>
        <v>1.064108801074326E-10</v>
      </c>
      <c r="K311" s="291">
        <f t="shared" si="24"/>
        <v>0</v>
      </c>
      <c r="L311" s="291">
        <f t="shared" si="25"/>
        <v>0</v>
      </c>
      <c r="M311" s="291">
        <f t="shared" si="26"/>
        <v>0</v>
      </c>
      <c r="N311" s="295">
        <f t="shared" si="27"/>
        <v>1.064108801074326E-10</v>
      </c>
    </row>
    <row r="312" spans="2:14" x14ac:dyDescent="0.45">
      <c r="B312" s="294"/>
      <c r="C312" s="291"/>
      <c r="D312" s="291"/>
      <c r="E312" s="291"/>
      <c r="F312" s="291"/>
      <c r="G312" s="295"/>
      <c r="I312" s="294">
        <f t="shared" si="28"/>
        <v>54455</v>
      </c>
      <c r="J312" s="291">
        <f t="shared" si="29"/>
        <v>1.064108801074326E-10</v>
      </c>
      <c r="K312" s="291">
        <f t="shared" si="24"/>
        <v>0</v>
      </c>
      <c r="L312" s="291">
        <f t="shared" si="25"/>
        <v>0</v>
      </c>
      <c r="M312" s="291">
        <f t="shared" si="26"/>
        <v>0</v>
      </c>
      <c r="N312" s="295">
        <f t="shared" si="27"/>
        <v>1.064108801074326E-10</v>
      </c>
    </row>
    <row r="313" spans="2:14" x14ac:dyDescent="0.45">
      <c r="B313" s="294"/>
      <c r="C313" s="291"/>
      <c r="D313" s="291"/>
      <c r="E313" s="291"/>
      <c r="F313" s="291"/>
      <c r="G313" s="295"/>
      <c r="I313" s="294">
        <f t="shared" si="28"/>
        <v>54483</v>
      </c>
      <c r="J313" s="291">
        <f t="shared" si="29"/>
        <v>1.064108801074326E-10</v>
      </c>
      <c r="K313" s="291">
        <f t="shared" si="24"/>
        <v>0</v>
      </c>
      <c r="L313" s="291">
        <f t="shared" si="25"/>
        <v>0</v>
      </c>
      <c r="M313" s="291">
        <f t="shared" si="26"/>
        <v>0</v>
      </c>
      <c r="N313" s="295">
        <f t="shared" si="27"/>
        <v>1.064108801074326E-10</v>
      </c>
    </row>
    <row r="314" spans="2:14" x14ac:dyDescent="0.45">
      <c r="B314" s="294"/>
      <c r="C314" s="291"/>
      <c r="D314" s="291"/>
      <c r="E314" s="291"/>
      <c r="F314" s="291"/>
      <c r="G314" s="295"/>
      <c r="I314" s="294">
        <f t="shared" si="28"/>
        <v>54514</v>
      </c>
      <c r="J314" s="291">
        <f t="shared" si="29"/>
        <v>1.064108801074326E-10</v>
      </c>
      <c r="K314" s="291">
        <f t="shared" si="24"/>
        <v>0</v>
      </c>
      <c r="L314" s="291">
        <f t="shared" si="25"/>
        <v>0</v>
      </c>
      <c r="M314" s="291">
        <f t="shared" si="26"/>
        <v>0</v>
      </c>
      <c r="N314" s="295">
        <f t="shared" si="27"/>
        <v>1.064108801074326E-10</v>
      </c>
    </row>
    <row r="315" spans="2:14" x14ac:dyDescent="0.45">
      <c r="B315" s="294"/>
      <c r="C315" s="291"/>
      <c r="D315" s="291"/>
      <c r="E315" s="291"/>
      <c r="F315" s="291"/>
      <c r="G315" s="295"/>
      <c r="I315" s="294">
        <f t="shared" si="28"/>
        <v>54544</v>
      </c>
      <c r="J315" s="291">
        <f t="shared" si="29"/>
        <v>1.064108801074326E-10</v>
      </c>
      <c r="K315" s="291">
        <f t="shared" si="24"/>
        <v>0</v>
      </c>
      <c r="L315" s="291">
        <f t="shared" si="25"/>
        <v>0</v>
      </c>
      <c r="M315" s="291">
        <f t="shared" si="26"/>
        <v>0</v>
      </c>
      <c r="N315" s="295">
        <f t="shared" si="27"/>
        <v>1.064108801074326E-10</v>
      </c>
    </row>
    <row r="316" spans="2:14" x14ac:dyDescent="0.45">
      <c r="B316" s="294"/>
      <c r="C316" s="291"/>
      <c r="D316" s="291"/>
      <c r="E316" s="291"/>
      <c r="F316" s="291"/>
      <c r="G316" s="295"/>
      <c r="I316" s="294">
        <f t="shared" si="28"/>
        <v>54575</v>
      </c>
      <c r="J316" s="291">
        <f t="shared" si="29"/>
        <v>1.064108801074326E-10</v>
      </c>
      <c r="K316" s="291">
        <f t="shared" si="24"/>
        <v>0</v>
      </c>
      <c r="L316" s="291">
        <f t="shared" si="25"/>
        <v>0</v>
      </c>
      <c r="M316" s="291">
        <f t="shared" si="26"/>
        <v>0</v>
      </c>
      <c r="N316" s="295">
        <f t="shared" si="27"/>
        <v>1.064108801074326E-10</v>
      </c>
    </row>
    <row r="317" spans="2:14" x14ac:dyDescent="0.45">
      <c r="B317" s="294"/>
      <c r="C317" s="291"/>
      <c r="D317" s="291"/>
      <c r="E317" s="291"/>
      <c r="F317" s="291"/>
      <c r="G317" s="295"/>
      <c r="I317" s="294">
        <f t="shared" si="28"/>
        <v>54605</v>
      </c>
      <c r="J317" s="291">
        <f t="shared" si="29"/>
        <v>1.064108801074326E-10</v>
      </c>
      <c r="K317" s="291">
        <f t="shared" si="24"/>
        <v>0</v>
      </c>
      <c r="L317" s="291">
        <f t="shared" si="25"/>
        <v>0</v>
      </c>
      <c r="M317" s="291">
        <f t="shared" si="26"/>
        <v>0</v>
      </c>
      <c r="N317" s="295">
        <f t="shared" si="27"/>
        <v>1.064108801074326E-10</v>
      </c>
    </row>
    <row r="318" spans="2:14" x14ac:dyDescent="0.45">
      <c r="B318" s="294"/>
      <c r="C318" s="291"/>
      <c r="D318" s="291"/>
      <c r="E318" s="291"/>
      <c r="F318" s="291"/>
      <c r="G318" s="295"/>
      <c r="I318" s="294">
        <f t="shared" si="28"/>
        <v>54636</v>
      </c>
      <c r="J318" s="291">
        <f t="shared" si="29"/>
        <v>1.064108801074326E-10</v>
      </c>
      <c r="K318" s="291">
        <f t="shared" si="24"/>
        <v>0</v>
      </c>
      <c r="L318" s="291">
        <f t="shared" si="25"/>
        <v>0</v>
      </c>
      <c r="M318" s="291">
        <f t="shared" si="26"/>
        <v>0</v>
      </c>
      <c r="N318" s="295">
        <f t="shared" si="27"/>
        <v>1.064108801074326E-10</v>
      </c>
    </row>
    <row r="319" spans="2:14" x14ac:dyDescent="0.45">
      <c r="B319" s="294"/>
      <c r="C319" s="291"/>
      <c r="D319" s="291"/>
      <c r="E319" s="291"/>
      <c r="F319" s="291"/>
      <c r="G319" s="295"/>
      <c r="I319" s="294">
        <f t="shared" si="28"/>
        <v>54667</v>
      </c>
      <c r="J319" s="291">
        <f t="shared" si="29"/>
        <v>1.064108801074326E-10</v>
      </c>
      <c r="K319" s="291">
        <f t="shared" si="24"/>
        <v>0</v>
      </c>
      <c r="L319" s="291">
        <f t="shared" si="25"/>
        <v>0</v>
      </c>
      <c r="M319" s="291">
        <f t="shared" si="26"/>
        <v>0</v>
      </c>
      <c r="N319" s="295">
        <f t="shared" si="27"/>
        <v>1.064108801074326E-10</v>
      </c>
    </row>
    <row r="320" spans="2:14" x14ac:dyDescent="0.45">
      <c r="B320" s="294"/>
      <c r="C320" s="291"/>
      <c r="D320" s="291"/>
      <c r="E320" s="291"/>
      <c r="F320" s="291"/>
      <c r="G320" s="295"/>
      <c r="I320" s="294">
        <f t="shared" si="28"/>
        <v>54697</v>
      </c>
      <c r="J320" s="291">
        <f t="shared" si="29"/>
        <v>1.064108801074326E-10</v>
      </c>
      <c r="K320" s="291">
        <f t="shared" si="24"/>
        <v>0</v>
      </c>
      <c r="L320" s="291">
        <f t="shared" si="25"/>
        <v>0</v>
      </c>
      <c r="M320" s="291">
        <f t="shared" si="26"/>
        <v>0</v>
      </c>
      <c r="N320" s="295">
        <f t="shared" si="27"/>
        <v>1.064108801074326E-10</v>
      </c>
    </row>
    <row r="321" spans="2:14" x14ac:dyDescent="0.45">
      <c r="B321" s="294"/>
      <c r="C321" s="291"/>
      <c r="D321" s="291"/>
      <c r="E321" s="291"/>
      <c r="F321" s="291"/>
      <c r="G321" s="295"/>
      <c r="I321" s="294">
        <f t="shared" si="28"/>
        <v>54728</v>
      </c>
      <c r="J321" s="291">
        <f t="shared" si="29"/>
        <v>1.064108801074326E-10</v>
      </c>
      <c r="K321" s="291">
        <f t="shared" si="24"/>
        <v>0</v>
      </c>
      <c r="L321" s="291">
        <f t="shared" si="25"/>
        <v>0</v>
      </c>
      <c r="M321" s="291">
        <f t="shared" si="26"/>
        <v>0</v>
      </c>
      <c r="N321" s="295">
        <f t="shared" si="27"/>
        <v>1.064108801074326E-10</v>
      </c>
    </row>
    <row r="322" spans="2:14" x14ac:dyDescent="0.45">
      <c r="B322" s="294"/>
      <c r="C322" s="291"/>
      <c r="D322" s="291"/>
      <c r="E322" s="291"/>
      <c r="F322" s="291"/>
      <c r="G322" s="295"/>
      <c r="I322" s="294">
        <f t="shared" si="28"/>
        <v>54758</v>
      </c>
      <c r="J322" s="291">
        <f t="shared" si="29"/>
        <v>1.064108801074326E-10</v>
      </c>
      <c r="K322" s="291">
        <f t="shared" si="24"/>
        <v>0</v>
      </c>
      <c r="L322" s="291">
        <f t="shared" si="25"/>
        <v>0</v>
      </c>
      <c r="M322" s="291">
        <f t="shared" si="26"/>
        <v>0</v>
      </c>
      <c r="N322" s="295">
        <f t="shared" si="27"/>
        <v>1.064108801074326E-10</v>
      </c>
    </row>
    <row r="323" spans="2:14" x14ac:dyDescent="0.45">
      <c r="B323" s="294"/>
      <c r="C323" s="291"/>
      <c r="D323" s="291"/>
      <c r="E323" s="291"/>
      <c r="F323" s="291"/>
      <c r="G323" s="295"/>
      <c r="I323" s="294">
        <f t="shared" si="28"/>
        <v>54789</v>
      </c>
      <c r="J323" s="291">
        <f t="shared" si="29"/>
        <v>1.064108801074326E-10</v>
      </c>
      <c r="K323" s="291">
        <f t="shared" si="24"/>
        <v>0</v>
      </c>
      <c r="L323" s="291">
        <f t="shared" si="25"/>
        <v>0</v>
      </c>
      <c r="M323" s="291">
        <f t="shared" si="26"/>
        <v>0</v>
      </c>
      <c r="N323" s="295">
        <f t="shared" si="27"/>
        <v>1.064108801074326E-10</v>
      </c>
    </row>
    <row r="324" spans="2:14" x14ac:dyDescent="0.45">
      <c r="B324" s="294"/>
      <c r="C324" s="291"/>
      <c r="D324" s="291"/>
      <c r="E324" s="291"/>
      <c r="F324" s="291"/>
      <c r="G324" s="295"/>
      <c r="I324" s="294">
        <f t="shared" si="28"/>
        <v>54820</v>
      </c>
      <c r="J324" s="291">
        <f t="shared" si="29"/>
        <v>1.064108801074326E-10</v>
      </c>
      <c r="K324" s="291">
        <f t="shared" si="24"/>
        <v>0</v>
      </c>
      <c r="L324" s="291">
        <f t="shared" si="25"/>
        <v>0</v>
      </c>
      <c r="M324" s="291">
        <f t="shared" si="26"/>
        <v>0</v>
      </c>
      <c r="N324" s="295">
        <f t="shared" si="27"/>
        <v>1.064108801074326E-10</v>
      </c>
    </row>
    <row r="325" spans="2:14" x14ac:dyDescent="0.45">
      <c r="B325" s="294"/>
      <c r="C325" s="291"/>
      <c r="D325" s="291"/>
      <c r="E325" s="291"/>
      <c r="F325" s="291"/>
      <c r="G325" s="295"/>
      <c r="I325" s="294">
        <f t="shared" si="28"/>
        <v>54848</v>
      </c>
      <c r="J325" s="291">
        <f t="shared" si="29"/>
        <v>1.064108801074326E-10</v>
      </c>
      <c r="K325" s="291">
        <f t="shared" si="24"/>
        <v>0</v>
      </c>
      <c r="L325" s="291">
        <f t="shared" si="25"/>
        <v>0</v>
      </c>
      <c r="M325" s="291">
        <f t="shared" si="26"/>
        <v>0</v>
      </c>
      <c r="N325" s="295">
        <f t="shared" si="27"/>
        <v>1.064108801074326E-10</v>
      </c>
    </row>
    <row r="326" spans="2:14" x14ac:dyDescent="0.45">
      <c r="B326" s="294"/>
      <c r="C326" s="291"/>
      <c r="D326" s="291"/>
      <c r="E326" s="291"/>
      <c r="F326" s="291"/>
      <c r="G326" s="295"/>
      <c r="I326" s="294">
        <f t="shared" si="28"/>
        <v>54879</v>
      </c>
      <c r="J326" s="291">
        <f t="shared" si="29"/>
        <v>1.064108801074326E-10</v>
      </c>
      <c r="K326" s="291">
        <f t="shared" si="24"/>
        <v>0</v>
      </c>
      <c r="L326" s="291">
        <f t="shared" si="25"/>
        <v>0</v>
      </c>
      <c r="M326" s="291">
        <f t="shared" si="26"/>
        <v>0</v>
      </c>
      <c r="N326" s="295">
        <f t="shared" si="27"/>
        <v>1.064108801074326E-10</v>
      </c>
    </row>
    <row r="327" spans="2:14" x14ac:dyDescent="0.45">
      <c r="B327" s="294"/>
      <c r="C327" s="291"/>
      <c r="D327" s="291"/>
      <c r="E327" s="291"/>
      <c r="F327" s="291"/>
      <c r="G327" s="295"/>
      <c r="I327" s="294">
        <f t="shared" si="28"/>
        <v>54909</v>
      </c>
      <c r="J327" s="291">
        <f t="shared" si="29"/>
        <v>1.064108801074326E-10</v>
      </c>
      <c r="K327" s="291">
        <f t="shared" si="24"/>
        <v>0</v>
      </c>
      <c r="L327" s="291">
        <f t="shared" si="25"/>
        <v>0</v>
      </c>
      <c r="M327" s="291">
        <f t="shared" si="26"/>
        <v>0</v>
      </c>
      <c r="N327" s="295">
        <f t="shared" si="27"/>
        <v>1.064108801074326E-10</v>
      </c>
    </row>
    <row r="328" spans="2:14" x14ac:dyDescent="0.45">
      <c r="B328" s="294"/>
      <c r="C328" s="291"/>
      <c r="D328" s="291"/>
      <c r="E328" s="291"/>
      <c r="F328" s="291"/>
      <c r="G328" s="295"/>
      <c r="I328" s="294">
        <f t="shared" si="28"/>
        <v>54940</v>
      </c>
      <c r="J328" s="291">
        <f t="shared" si="29"/>
        <v>1.064108801074326E-10</v>
      </c>
      <c r="K328" s="291">
        <f t="shared" si="24"/>
        <v>0</v>
      </c>
      <c r="L328" s="291">
        <f t="shared" si="25"/>
        <v>0</v>
      </c>
      <c r="M328" s="291">
        <f t="shared" si="26"/>
        <v>0</v>
      </c>
      <c r="N328" s="295">
        <f t="shared" si="27"/>
        <v>1.064108801074326E-10</v>
      </c>
    </row>
    <row r="329" spans="2:14" x14ac:dyDescent="0.45">
      <c r="B329" s="294"/>
      <c r="C329" s="291"/>
      <c r="D329" s="291"/>
      <c r="E329" s="291"/>
      <c r="F329" s="291"/>
      <c r="G329" s="295"/>
      <c r="I329" s="294">
        <f t="shared" si="28"/>
        <v>54970</v>
      </c>
      <c r="J329" s="291">
        <f t="shared" si="29"/>
        <v>1.064108801074326E-10</v>
      </c>
      <c r="K329" s="291">
        <f t="shared" si="24"/>
        <v>0</v>
      </c>
      <c r="L329" s="291">
        <f t="shared" si="25"/>
        <v>0</v>
      </c>
      <c r="M329" s="291">
        <f t="shared" si="26"/>
        <v>0</v>
      </c>
      <c r="N329" s="295">
        <f t="shared" si="27"/>
        <v>1.064108801074326E-10</v>
      </c>
    </row>
    <row r="330" spans="2:14" x14ac:dyDescent="0.45">
      <c r="B330" s="294"/>
      <c r="C330" s="291"/>
      <c r="D330" s="291"/>
      <c r="E330" s="291"/>
      <c r="F330" s="291"/>
      <c r="G330" s="295"/>
      <c r="I330" s="294">
        <f t="shared" si="28"/>
        <v>55001</v>
      </c>
      <c r="J330" s="291">
        <f t="shared" si="29"/>
        <v>1.064108801074326E-10</v>
      </c>
      <c r="K330" s="291">
        <f t="shared" si="24"/>
        <v>0</v>
      </c>
      <c r="L330" s="291">
        <f t="shared" si="25"/>
        <v>0</v>
      </c>
      <c r="M330" s="291">
        <f t="shared" si="26"/>
        <v>0</v>
      </c>
      <c r="N330" s="295">
        <f t="shared" si="27"/>
        <v>1.064108801074326E-10</v>
      </c>
    </row>
    <row r="331" spans="2:14" x14ac:dyDescent="0.45">
      <c r="B331" s="294"/>
      <c r="C331" s="291"/>
      <c r="D331" s="291"/>
      <c r="E331" s="291"/>
      <c r="F331" s="291"/>
      <c r="G331" s="295"/>
      <c r="I331" s="294">
        <f t="shared" si="28"/>
        <v>55032</v>
      </c>
      <c r="J331" s="291">
        <f t="shared" si="29"/>
        <v>1.064108801074326E-10</v>
      </c>
      <c r="K331" s="291">
        <f t="shared" si="24"/>
        <v>0</v>
      </c>
      <c r="L331" s="291">
        <f t="shared" si="25"/>
        <v>0</v>
      </c>
      <c r="M331" s="291">
        <f t="shared" si="26"/>
        <v>0</v>
      </c>
      <c r="N331" s="295">
        <f t="shared" si="27"/>
        <v>1.064108801074326E-10</v>
      </c>
    </row>
    <row r="332" spans="2:14" x14ac:dyDescent="0.45">
      <c r="B332" s="294"/>
      <c r="C332" s="291"/>
      <c r="D332" s="291"/>
      <c r="E332" s="291"/>
      <c r="F332" s="291"/>
      <c r="G332" s="295"/>
      <c r="I332" s="294">
        <f t="shared" si="28"/>
        <v>55062</v>
      </c>
      <c r="J332" s="291">
        <f t="shared" si="29"/>
        <v>1.064108801074326E-10</v>
      </c>
      <c r="K332" s="291">
        <f t="shared" ref="K332:K395" si="30">IF(ROUNDDOWN(J332,0)=0,0,PMT($L$4/12,$L$7,-$L$8)+$L$5)</f>
        <v>0</v>
      </c>
      <c r="L332" s="291">
        <f t="shared" ref="L332:L395" si="31">IF(ROUNDDOWN(J332,0)=0,0,(J332*$L$4/12)+$L$5)</f>
        <v>0</v>
      </c>
      <c r="M332" s="291">
        <f t="shared" ref="M332:M395" si="32">K332-L332</f>
        <v>0</v>
      </c>
      <c r="N332" s="295">
        <f t="shared" ref="N332:N395" si="33">J332-M332</f>
        <v>1.064108801074326E-10</v>
      </c>
    </row>
    <row r="333" spans="2:14" x14ac:dyDescent="0.45">
      <c r="B333" s="294"/>
      <c r="C333" s="291"/>
      <c r="D333" s="291"/>
      <c r="E333" s="291"/>
      <c r="F333" s="291"/>
      <c r="G333" s="295"/>
      <c r="I333" s="294">
        <f t="shared" ref="I333:I396" si="34">EDATE(I332,1)</f>
        <v>55093</v>
      </c>
      <c r="J333" s="291">
        <f t="shared" ref="J333:J396" si="35">N332</f>
        <v>1.064108801074326E-10</v>
      </c>
      <c r="K333" s="291">
        <f t="shared" si="30"/>
        <v>0</v>
      </c>
      <c r="L333" s="291">
        <f t="shared" si="31"/>
        <v>0</v>
      </c>
      <c r="M333" s="291">
        <f t="shared" si="32"/>
        <v>0</v>
      </c>
      <c r="N333" s="295">
        <f t="shared" si="33"/>
        <v>1.064108801074326E-10</v>
      </c>
    </row>
    <row r="334" spans="2:14" x14ac:dyDescent="0.45">
      <c r="B334" s="294"/>
      <c r="C334" s="291"/>
      <c r="D334" s="291"/>
      <c r="E334" s="291"/>
      <c r="F334" s="291"/>
      <c r="G334" s="295"/>
      <c r="I334" s="294">
        <f t="shared" si="34"/>
        <v>55123</v>
      </c>
      <c r="J334" s="291">
        <f t="shared" si="35"/>
        <v>1.064108801074326E-10</v>
      </c>
      <c r="K334" s="291">
        <f t="shared" si="30"/>
        <v>0</v>
      </c>
      <c r="L334" s="291">
        <f t="shared" si="31"/>
        <v>0</v>
      </c>
      <c r="M334" s="291">
        <f t="shared" si="32"/>
        <v>0</v>
      </c>
      <c r="N334" s="295">
        <f t="shared" si="33"/>
        <v>1.064108801074326E-10</v>
      </c>
    </row>
    <row r="335" spans="2:14" x14ac:dyDescent="0.45">
      <c r="B335" s="294"/>
      <c r="C335" s="291"/>
      <c r="D335" s="291"/>
      <c r="E335" s="291"/>
      <c r="F335" s="291"/>
      <c r="G335" s="295"/>
      <c r="I335" s="294">
        <f t="shared" si="34"/>
        <v>55154</v>
      </c>
      <c r="J335" s="291">
        <f t="shared" si="35"/>
        <v>1.064108801074326E-10</v>
      </c>
      <c r="K335" s="291">
        <f t="shared" si="30"/>
        <v>0</v>
      </c>
      <c r="L335" s="291">
        <f t="shared" si="31"/>
        <v>0</v>
      </c>
      <c r="M335" s="291">
        <f t="shared" si="32"/>
        <v>0</v>
      </c>
      <c r="N335" s="295">
        <f t="shared" si="33"/>
        <v>1.064108801074326E-10</v>
      </c>
    </row>
    <row r="336" spans="2:14" x14ac:dyDescent="0.45">
      <c r="B336" s="294"/>
      <c r="C336" s="291"/>
      <c r="D336" s="291"/>
      <c r="E336" s="291"/>
      <c r="F336" s="291"/>
      <c r="G336" s="295"/>
      <c r="I336" s="294">
        <f t="shared" si="34"/>
        <v>55185</v>
      </c>
      <c r="J336" s="291">
        <f t="shared" si="35"/>
        <v>1.064108801074326E-10</v>
      </c>
      <c r="K336" s="291">
        <f t="shared" si="30"/>
        <v>0</v>
      </c>
      <c r="L336" s="291">
        <f t="shared" si="31"/>
        <v>0</v>
      </c>
      <c r="M336" s="291">
        <f t="shared" si="32"/>
        <v>0</v>
      </c>
      <c r="N336" s="295">
        <f t="shared" si="33"/>
        <v>1.064108801074326E-10</v>
      </c>
    </row>
    <row r="337" spans="2:14" x14ac:dyDescent="0.45">
      <c r="B337" s="294"/>
      <c r="C337" s="291"/>
      <c r="D337" s="291"/>
      <c r="E337" s="291"/>
      <c r="F337" s="291"/>
      <c r="G337" s="295"/>
      <c r="I337" s="294">
        <f t="shared" si="34"/>
        <v>55213</v>
      </c>
      <c r="J337" s="291">
        <f t="shared" si="35"/>
        <v>1.064108801074326E-10</v>
      </c>
      <c r="K337" s="291">
        <f t="shared" si="30"/>
        <v>0</v>
      </c>
      <c r="L337" s="291">
        <f t="shared" si="31"/>
        <v>0</v>
      </c>
      <c r="M337" s="291">
        <f t="shared" si="32"/>
        <v>0</v>
      </c>
      <c r="N337" s="295">
        <f t="shared" si="33"/>
        <v>1.064108801074326E-10</v>
      </c>
    </row>
    <row r="338" spans="2:14" x14ac:dyDescent="0.45">
      <c r="B338" s="294"/>
      <c r="C338" s="291"/>
      <c r="D338" s="291"/>
      <c r="E338" s="291"/>
      <c r="F338" s="291"/>
      <c r="G338" s="295"/>
      <c r="I338" s="294">
        <f t="shared" si="34"/>
        <v>55244</v>
      </c>
      <c r="J338" s="291">
        <f t="shared" si="35"/>
        <v>1.064108801074326E-10</v>
      </c>
      <c r="K338" s="291">
        <f t="shared" si="30"/>
        <v>0</v>
      </c>
      <c r="L338" s="291">
        <f t="shared" si="31"/>
        <v>0</v>
      </c>
      <c r="M338" s="291">
        <f t="shared" si="32"/>
        <v>0</v>
      </c>
      <c r="N338" s="295">
        <f t="shared" si="33"/>
        <v>1.064108801074326E-10</v>
      </c>
    </row>
    <row r="339" spans="2:14" x14ac:dyDescent="0.45">
      <c r="B339" s="294"/>
      <c r="C339" s="291"/>
      <c r="D339" s="291"/>
      <c r="E339" s="291"/>
      <c r="F339" s="291"/>
      <c r="G339" s="295"/>
      <c r="I339" s="294">
        <f t="shared" si="34"/>
        <v>55274</v>
      </c>
      <c r="J339" s="291">
        <f t="shared" si="35"/>
        <v>1.064108801074326E-10</v>
      </c>
      <c r="K339" s="291">
        <f t="shared" si="30"/>
        <v>0</v>
      </c>
      <c r="L339" s="291">
        <f t="shared" si="31"/>
        <v>0</v>
      </c>
      <c r="M339" s="291">
        <f t="shared" si="32"/>
        <v>0</v>
      </c>
      <c r="N339" s="295">
        <f t="shared" si="33"/>
        <v>1.064108801074326E-10</v>
      </c>
    </row>
    <row r="340" spans="2:14" x14ac:dyDescent="0.45">
      <c r="B340" s="294"/>
      <c r="C340" s="291"/>
      <c r="D340" s="291"/>
      <c r="E340" s="291"/>
      <c r="F340" s="291"/>
      <c r="G340" s="295"/>
      <c r="I340" s="294">
        <f t="shared" si="34"/>
        <v>55305</v>
      </c>
      <c r="J340" s="291">
        <f t="shared" si="35"/>
        <v>1.064108801074326E-10</v>
      </c>
      <c r="K340" s="291">
        <f t="shared" si="30"/>
        <v>0</v>
      </c>
      <c r="L340" s="291">
        <f t="shared" si="31"/>
        <v>0</v>
      </c>
      <c r="M340" s="291">
        <f t="shared" si="32"/>
        <v>0</v>
      </c>
      <c r="N340" s="295">
        <f t="shared" si="33"/>
        <v>1.064108801074326E-10</v>
      </c>
    </row>
    <row r="341" spans="2:14" x14ac:dyDescent="0.45">
      <c r="B341" s="294"/>
      <c r="C341" s="291"/>
      <c r="D341" s="291"/>
      <c r="E341" s="291"/>
      <c r="F341" s="291"/>
      <c r="G341" s="295"/>
      <c r="I341" s="294">
        <f t="shared" si="34"/>
        <v>55335</v>
      </c>
      <c r="J341" s="291">
        <f t="shared" si="35"/>
        <v>1.064108801074326E-10</v>
      </c>
      <c r="K341" s="291">
        <f t="shared" si="30"/>
        <v>0</v>
      </c>
      <c r="L341" s="291">
        <f t="shared" si="31"/>
        <v>0</v>
      </c>
      <c r="M341" s="291">
        <f t="shared" si="32"/>
        <v>0</v>
      </c>
      <c r="N341" s="295">
        <f t="shared" si="33"/>
        <v>1.064108801074326E-10</v>
      </c>
    </row>
    <row r="342" spans="2:14" x14ac:dyDescent="0.45">
      <c r="B342" s="294"/>
      <c r="C342" s="291"/>
      <c r="D342" s="291"/>
      <c r="E342" s="291"/>
      <c r="F342" s="291"/>
      <c r="G342" s="295"/>
      <c r="I342" s="294">
        <f t="shared" si="34"/>
        <v>55366</v>
      </c>
      <c r="J342" s="291">
        <f t="shared" si="35"/>
        <v>1.064108801074326E-10</v>
      </c>
      <c r="K342" s="291">
        <f t="shared" si="30"/>
        <v>0</v>
      </c>
      <c r="L342" s="291">
        <f t="shared" si="31"/>
        <v>0</v>
      </c>
      <c r="M342" s="291">
        <f t="shared" si="32"/>
        <v>0</v>
      </c>
      <c r="N342" s="295">
        <f t="shared" si="33"/>
        <v>1.064108801074326E-10</v>
      </c>
    </row>
    <row r="343" spans="2:14" x14ac:dyDescent="0.45">
      <c r="B343" s="294"/>
      <c r="C343" s="291"/>
      <c r="D343" s="291"/>
      <c r="E343" s="291"/>
      <c r="F343" s="291"/>
      <c r="G343" s="295"/>
      <c r="I343" s="294">
        <f t="shared" si="34"/>
        <v>55397</v>
      </c>
      <c r="J343" s="291">
        <f t="shared" si="35"/>
        <v>1.064108801074326E-10</v>
      </c>
      <c r="K343" s="291">
        <f t="shared" si="30"/>
        <v>0</v>
      </c>
      <c r="L343" s="291">
        <f t="shared" si="31"/>
        <v>0</v>
      </c>
      <c r="M343" s="291">
        <f t="shared" si="32"/>
        <v>0</v>
      </c>
      <c r="N343" s="295">
        <f t="shared" si="33"/>
        <v>1.064108801074326E-10</v>
      </c>
    </row>
    <row r="344" spans="2:14" x14ac:dyDescent="0.45">
      <c r="B344" s="294"/>
      <c r="C344" s="291"/>
      <c r="D344" s="291"/>
      <c r="E344" s="291"/>
      <c r="F344" s="291"/>
      <c r="G344" s="295"/>
      <c r="I344" s="294">
        <f t="shared" si="34"/>
        <v>55427</v>
      </c>
      <c r="J344" s="291">
        <f t="shared" si="35"/>
        <v>1.064108801074326E-10</v>
      </c>
      <c r="K344" s="291">
        <f t="shared" si="30"/>
        <v>0</v>
      </c>
      <c r="L344" s="291">
        <f t="shared" si="31"/>
        <v>0</v>
      </c>
      <c r="M344" s="291">
        <f t="shared" si="32"/>
        <v>0</v>
      </c>
      <c r="N344" s="295">
        <f t="shared" si="33"/>
        <v>1.064108801074326E-10</v>
      </c>
    </row>
    <row r="345" spans="2:14" x14ac:dyDescent="0.45">
      <c r="B345" s="294"/>
      <c r="C345" s="291"/>
      <c r="D345" s="291"/>
      <c r="E345" s="291"/>
      <c r="F345" s="291"/>
      <c r="G345" s="295"/>
      <c r="I345" s="294">
        <f t="shared" si="34"/>
        <v>55458</v>
      </c>
      <c r="J345" s="291">
        <f t="shared" si="35"/>
        <v>1.064108801074326E-10</v>
      </c>
      <c r="K345" s="291">
        <f t="shared" si="30"/>
        <v>0</v>
      </c>
      <c r="L345" s="291">
        <f t="shared" si="31"/>
        <v>0</v>
      </c>
      <c r="M345" s="291">
        <f t="shared" si="32"/>
        <v>0</v>
      </c>
      <c r="N345" s="295">
        <f t="shared" si="33"/>
        <v>1.064108801074326E-10</v>
      </c>
    </row>
    <row r="346" spans="2:14" x14ac:dyDescent="0.45">
      <c r="B346" s="294"/>
      <c r="C346" s="291"/>
      <c r="D346" s="291"/>
      <c r="E346" s="291"/>
      <c r="F346" s="291"/>
      <c r="G346" s="295"/>
      <c r="I346" s="294">
        <f t="shared" si="34"/>
        <v>55488</v>
      </c>
      <c r="J346" s="291">
        <f t="shared" si="35"/>
        <v>1.064108801074326E-10</v>
      </c>
      <c r="K346" s="291">
        <f t="shared" si="30"/>
        <v>0</v>
      </c>
      <c r="L346" s="291">
        <f t="shared" si="31"/>
        <v>0</v>
      </c>
      <c r="M346" s="291">
        <f t="shared" si="32"/>
        <v>0</v>
      </c>
      <c r="N346" s="295">
        <f t="shared" si="33"/>
        <v>1.064108801074326E-10</v>
      </c>
    </row>
    <row r="347" spans="2:14" x14ac:dyDescent="0.45">
      <c r="B347" s="294"/>
      <c r="C347" s="291"/>
      <c r="D347" s="291"/>
      <c r="E347" s="291"/>
      <c r="F347" s="291"/>
      <c r="G347" s="295"/>
      <c r="I347" s="294">
        <f t="shared" si="34"/>
        <v>55519</v>
      </c>
      <c r="J347" s="291">
        <f t="shared" si="35"/>
        <v>1.064108801074326E-10</v>
      </c>
      <c r="K347" s="291">
        <f t="shared" si="30"/>
        <v>0</v>
      </c>
      <c r="L347" s="291">
        <f t="shared" si="31"/>
        <v>0</v>
      </c>
      <c r="M347" s="291">
        <f t="shared" si="32"/>
        <v>0</v>
      </c>
      <c r="N347" s="295">
        <f t="shared" si="33"/>
        <v>1.064108801074326E-10</v>
      </c>
    </row>
    <row r="348" spans="2:14" x14ac:dyDescent="0.45">
      <c r="B348" s="294"/>
      <c r="C348" s="291"/>
      <c r="D348" s="291"/>
      <c r="E348" s="291"/>
      <c r="F348" s="291"/>
      <c r="G348" s="295"/>
      <c r="I348" s="294">
        <f t="shared" si="34"/>
        <v>55550</v>
      </c>
      <c r="J348" s="291">
        <f t="shared" si="35"/>
        <v>1.064108801074326E-10</v>
      </c>
      <c r="K348" s="291">
        <f t="shared" si="30"/>
        <v>0</v>
      </c>
      <c r="L348" s="291">
        <f t="shared" si="31"/>
        <v>0</v>
      </c>
      <c r="M348" s="291">
        <f t="shared" si="32"/>
        <v>0</v>
      </c>
      <c r="N348" s="295">
        <f t="shared" si="33"/>
        <v>1.064108801074326E-10</v>
      </c>
    </row>
    <row r="349" spans="2:14" x14ac:dyDescent="0.45">
      <c r="B349" s="294"/>
      <c r="C349" s="291"/>
      <c r="D349" s="291"/>
      <c r="E349" s="291"/>
      <c r="F349" s="291"/>
      <c r="G349" s="295"/>
      <c r="I349" s="294">
        <f t="shared" si="34"/>
        <v>55579</v>
      </c>
      <c r="J349" s="291">
        <f t="shared" si="35"/>
        <v>1.064108801074326E-10</v>
      </c>
      <c r="K349" s="291">
        <f t="shared" si="30"/>
        <v>0</v>
      </c>
      <c r="L349" s="291">
        <f t="shared" si="31"/>
        <v>0</v>
      </c>
      <c r="M349" s="291">
        <f t="shared" si="32"/>
        <v>0</v>
      </c>
      <c r="N349" s="295">
        <f t="shared" si="33"/>
        <v>1.064108801074326E-10</v>
      </c>
    </row>
    <row r="350" spans="2:14" x14ac:dyDescent="0.45">
      <c r="B350" s="294"/>
      <c r="C350" s="291"/>
      <c r="D350" s="291"/>
      <c r="E350" s="291"/>
      <c r="F350" s="291"/>
      <c r="G350" s="295"/>
      <c r="I350" s="294">
        <f t="shared" si="34"/>
        <v>55610</v>
      </c>
      <c r="J350" s="291">
        <f t="shared" si="35"/>
        <v>1.064108801074326E-10</v>
      </c>
      <c r="K350" s="291">
        <f t="shared" si="30"/>
        <v>0</v>
      </c>
      <c r="L350" s="291">
        <f t="shared" si="31"/>
        <v>0</v>
      </c>
      <c r="M350" s="291">
        <f t="shared" si="32"/>
        <v>0</v>
      </c>
      <c r="N350" s="295">
        <f t="shared" si="33"/>
        <v>1.064108801074326E-10</v>
      </c>
    </row>
    <row r="351" spans="2:14" x14ac:dyDescent="0.45">
      <c r="B351" s="294"/>
      <c r="C351" s="291"/>
      <c r="D351" s="291"/>
      <c r="E351" s="291"/>
      <c r="F351" s="291"/>
      <c r="G351" s="295"/>
      <c r="I351" s="294">
        <f t="shared" si="34"/>
        <v>55640</v>
      </c>
      <c r="J351" s="291">
        <f t="shared" si="35"/>
        <v>1.064108801074326E-10</v>
      </c>
      <c r="K351" s="291">
        <f t="shared" si="30"/>
        <v>0</v>
      </c>
      <c r="L351" s="291">
        <f t="shared" si="31"/>
        <v>0</v>
      </c>
      <c r="M351" s="291">
        <f t="shared" si="32"/>
        <v>0</v>
      </c>
      <c r="N351" s="295">
        <f t="shared" si="33"/>
        <v>1.064108801074326E-10</v>
      </c>
    </row>
    <row r="352" spans="2:14" x14ac:dyDescent="0.45">
      <c r="B352" s="294"/>
      <c r="C352" s="291"/>
      <c r="D352" s="291"/>
      <c r="E352" s="291"/>
      <c r="F352" s="291"/>
      <c r="G352" s="295"/>
      <c r="I352" s="294">
        <f t="shared" si="34"/>
        <v>55671</v>
      </c>
      <c r="J352" s="291">
        <f t="shared" si="35"/>
        <v>1.064108801074326E-10</v>
      </c>
      <c r="K352" s="291">
        <f t="shared" si="30"/>
        <v>0</v>
      </c>
      <c r="L352" s="291">
        <f t="shared" si="31"/>
        <v>0</v>
      </c>
      <c r="M352" s="291">
        <f t="shared" si="32"/>
        <v>0</v>
      </c>
      <c r="N352" s="295">
        <f t="shared" si="33"/>
        <v>1.064108801074326E-10</v>
      </c>
    </row>
    <row r="353" spans="2:14" x14ac:dyDescent="0.45">
      <c r="B353" s="294"/>
      <c r="C353" s="291"/>
      <c r="D353" s="291"/>
      <c r="E353" s="291"/>
      <c r="F353" s="291"/>
      <c r="G353" s="295"/>
      <c r="I353" s="294">
        <f t="shared" si="34"/>
        <v>55701</v>
      </c>
      <c r="J353" s="291">
        <f t="shared" si="35"/>
        <v>1.064108801074326E-10</v>
      </c>
      <c r="K353" s="291">
        <f t="shared" si="30"/>
        <v>0</v>
      </c>
      <c r="L353" s="291">
        <f t="shared" si="31"/>
        <v>0</v>
      </c>
      <c r="M353" s="291">
        <f t="shared" si="32"/>
        <v>0</v>
      </c>
      <c r="N353" s="295">
        <f t="shared" si="33"/>
        <v>1.064108801074326E-10</v>
      </c>
    </row>
    <row r="354" spans="2:14" x14ac:dyDescent="0.45">
      <c r="B354" s="294"/>
      <c r="C354" s="291"/>
      <c r="D354" s="291"/>
      <c r="E354" s="291"/>
      <c r="F354" s="291"/>
      <c r="G354" s="295"/>
      <c r="I354" s="294">
        <f t="shared" si="34"/>
        <v>55732</v>
      </c>
      <c r="J354" s="291">
        <f t="shared" si="35"/>
        <v>1.064108801074326E-10</v>
      </c>
      <c r="K354" s="291">
        <f t="shared" si="30"/>
        <v>0</v>
      </c>
      <c r="L354" s="291">
        <f t="shared" si="31"/>
        <v>0</v>
      </c>
      <c r="M354" s="291">
        <f t="shared" si="32"/>
        <v>0</v>
      </c>
      <c r="N354" s="295">
        <f t="shared" si="33"/>
        <v>1.064108801074326E-10</v>
      </c>
    </row>
    <row r="355" spans="2:14" x14ac:dyDescent="0.45">
      <c r="B355" s="294"/>
      <c r="C355" s="291"/>
      <c r="D355" s="291"/>
      <c r="E355" s="291"/>
      <c r="F355" s="291"/>
      <c r="G355" s="295"/>
      <c r="I355" s="294">
        <f t="shared" si="34"/>
        <v>55763</v>
      </c>
      <c r="J355" s="291">
        <f t="shared" si="35"/>
        <v>1.064108801074326E-10</v>
      </c>
      <c r="K355" s="291">
        <f t="shared" si="30"/>
        <v>0</v>
      </c>
      <c r="L355" s="291">
        <f t="shared" si="31"/>
        <v>0</v>
      </c>
      <c r="M355" s="291">
        <f t="shared" si="32"/>
        <v>0</v>
      </c>
      <c r="N355" s="295">
        <f t="shared" si="33"/>
        <v>1.064108801074326E-10</v>
      </c>
    </row>
    <row r="356" spans="2:14" x14ac:dyDescent="0.45">
      <c r="B356" s="294"/>
      <c r="C356" s="291"/>
      <c r="D356" s="291"/>
      <c r="E356" s="291"/>
      <c r="F356" s="291"/>
      <c r="G356" s="295"/>
      <c r="I356" s="294">
        <f t="shared" si="34"/>
        <v>55793</v>
      </c>
      <c r="J356" s="291">
        <f t="shared" si="35"/>
        <v>1.064108801074326E-10</v>
      </c>
      <c r="K356" s="291">
        <f t="shared" si="30"/>
        <v>0</v>
      </c>
      <c r="L356" s="291">
        <f t="shared" si="31"/>
        <v>0</v>
      </c>
      <c r="M356" s="291">
        <f t="shared" si="32"/>
        <v>0</v>
      </c>
      <c r="N356" s="295">
        <f t="shared" si="33"/>
        <v>1.064108801074326E-10</v>
      </c>
    </row>
    <row r="357" spans="2:14" x14ac:dyDescent="0.45">
      <c r="B357" s="294"/>
      <c r="C357" s="291"/>
      <c r="D357" s="291"/>
      <c r="E357" s="291"/>
      <c r="F357" s="291"/>
      <c r="G357" s="295"/>
      <c r="I357" s="294">
        <f t="shared" si="34"/>
        <v>55824</v>
      </c>
      <c r="J357" s="291">
        <f t="shared" si="35"/>
        <v>1.064108801074326E-10</v>
      </c>
      <c r="K357" s="291">
        <f t="shared" si="30"/>
        <v>0</v>
      </c>
      <c r="L357" s="291">
        <f t="shared" si="31"/>
        <v>0</v>
      </c>
      <c r="M357" s="291">
        <f t="shared" si="32"/>
        <v>0</v>
      </c>
      <c r="N357" s="295">
        <f t="shared" si="33"/>
        <v>1.064108801074326E-10</v>
      </c>
    </row>
    <row r="358" spans="2:14" x14ac:dyDescent="0.45">
      <c r="B358" s="294"/>
      <c r="C358" s="291"/>
      <c r="D358" s="291"/>
      <c r="E358" s="291"/>
      <c r="F358" s="291"/>
      <c r="G358" s="295"/>
      <c r="I358" s="294">
        <f t="shared" si="34"/>
        <v>55854</v>
      </c>
      <c r="J358" s="291">
        <f t="shared" si="35"/>
        <v>1.064108801074326E-10</v>
      </c>
      <c r="K358" s="291">
        <f t="shared" si="30"/>
        <v>0</v>
      </c>
      <c r="L358" s="291">
        <f t="shared" si="31"/>
        <v>0</v>
      </c>
      <c r="M358" s="291">
        <f t="shared" si="32"/>
        <v>0</v>
      </c>
      <c r="N358" s="295">
        <f t="shared" si="33"/>
        <v>1.064108801074326E-10</v>
      </c>
    </row>
    <row r="359" spans="2:14" x14ac:dyDescent="0.45">
      <c r="B359" s="294"/>
      <c r="C359" s="291"/>
      <c r="D359" s="291"/>
      <c r="E359" s="291"/>
      <c r="F359" s="291"/>
      <c r="G359" s="295"/>
      <c r="I359" s="294">
        <f t="shared" si="34"/>
        <v>55885</v>
      </c>
      <c r="J359" s="291">
        <f t="shared" si="35"/>
        <v>1.064108801074326E-10</v>
      </c>
      <c r="K359" s="291">
        <f t="shared" si="30"/>
        <v>0</v>
      </c>
      <c r="L359" s="291">
        <f t="shared" si="31"/>
        <v>0</v>
      </c>
      <c r="M359" s="291">
        <f t="shared" si="32"/>
        <v>0</v>
      </c>
      <c r="N359" s="295">
        <f t="shared" si="33"/>
        <v>1.064108801074326E-10</v>
      </c>
    </row>
    <row r="360" spans="2:14" x14ac:dyDescent="0.45">
      <c r="B360" s="294"/>
      <c r="C360" s="291"/>
      <c r="D360" s="291"/>
      <c r="E360" s="291"/>
      <c r="F360" s="291"/>
      <c r="G360" s="295"/>
      <c r="I360" s="294">
        <f t="shared" si="34"/>
        <v>55916</v>
      </c>
      <c r="J360" s="291">
        <f t="shared" si="35"/>
        <v>1.064108801074326E-10</v>
      </c>
      <c r="K360" s="291">
        <f t="shared" si="30"/>
        <v>0</v>
      </c>
      <c r="L360" s="291">
        <f t="shared" si="31"/>
        <v>0</v>
      </c>
      <c r="M360" s="291">
        <f t="shared" si="32"/>
        <v>0</v>
      </c>
      <c r="N360" s="295">
        <f t="shared" si="33"/>
        <v>1.064108801074326E-10</v>
      </c>
    </row>
    <row r="361" spans="2:14" x14ac:dyDescent="0.45">
      <c r="B361" s="294"/>
      <c r="C361" s="291"/>
      <c r="D361" s="291"/>
      <c r="E361" s="291"/>
      <c r="F361" s="291"/>
      <c r="G361" s="295"/>
      <c r="I361" s="294">
        <f t="shared" si="34"/>
        <v>55944</v>
      </c>
      <c r="J361" s="291">
        <f t="shared" si="35"/>
        <v>1.064108801074326E-10</v>
      </c>
      <c r="K361" s="291">
        <f t="shared" si="30"/>
        <v>0</v>
      </c>
      <c r="L361" s="291">
        <f t="shared" si="31"/>
        <v>0</v>
      </c>
      <c r="M361" s="291">
        <f t="shared" si="32"/>
        <v>0</v>
      </c>
      <c r="N361" s="295">
        <f t="shared" si="33"/>
        <v>1.064108801074326E-10</v>
      </c>
    </row>
    <row r="362" spans="2:14" x14ac:dyDescent="0.45">
      <c r="B362" s="294"/>
      <c r="C362" s="291"/>
      <c r="D362" s="291"/>
      <c r="E362" s="291"/>
      <c r="F362" s="291"/>
      <c r="G362" s="295"/>
      <c r="I362" s="294">
        <f t="shared" si="34"/>
        <v>55975</v>
      </c>
      <c r="J362" s="291">
        <f t="shared" si="35"/>
        <v>1.064108801074326E-10</v>
      </c>
      <c r="K362" s="291">
        <f t="shared" si="30"/>
        <v>0</v>
      </c>
      <c r="L362" s="291">
        <f t="shared" si="31"/>
        <v>0</v>
      </c>
      <c r="M362" s="291">
        <f t="shared" si="32"/>
        <v>0</v>
      </c>
      <c r="N362" s="295">
        <f t="shared" si="33"/>
        <v>1.064108801074326E-10</v>
      </c>
    </row>
    <row r="363" spans="2:14" x14ac:dyDescent="0.45">
      <c r="B363" s="294"/>
      <c r="C363" s="291"/>
      <c r="D363" s="291"/>
      <c r="E363" s="291"/>
      <c r="F363" s="291"/>
      <c r="G363" s="295"/>
      <c r="I363" s="294">
        <f t="shared" si="34"/>
        <v>56005</v>
      </c>
      <c r="J363" s="291">
        <f t="shared" si="35"/>
        <v>1.064108801074326E-10</v>
      </c>
      <c r="K363" s="291">
        <f t="shared" si="30"/>
        <v>0</v>
      </c>
      <c r="L363" s="291">
        <f t="shared" si="31"/>
        <v>0</v>
      </c>
      <c r="M363" s="291">
        <f t="shared" si="32"/>
        <v>0</v>
      </c>
      <c r="N363" s="295">
        <f t="shared" si="33"/>
        <v>1.064108801074326E-10</v>
      </c>
    </row>
    <row r="364" spans="2:14" x14ac:dyDescent="0.45">
      <c r="B364" s="294"/>
      <c r="C364" s="291"/>
      <c r="D364" s="291"/>
      <c r="E364" s="291"/>
      <c r="F364" s="291"/>
      <c r="G364" s="295"/>
      <c r="I364" s="294">
        <f t="shared" si="34"/>
        <v>56036</v>
      </c>
      <c r="J364" s="291">
        <f t="shared" si="35"/>
        <v>1.064108801074326E-10</v>
      </c>
      <c r="K364" s="291">
        <f t="shared" si="30"/>
        <v>0</v>
      </c>
      <c r="L364" s="291">
        <f t="shared" si="31"/>
        <v>0</v>
      </c>
      <c r="M364" s="291">
        <f t="shared" si="32"/>
        <v>0</v>
      </c>
      <c r="N364" s="295">
        <f t="shared" si="33"/>
        <v>1.064108801074326E-10</v>
      </c>
    </row>
    <row r="365" spans="2:14" x14ac:dyDescent="0.45">
      <c r="B365" s="294"/>
      <c r="C365" s="291"/>
      <c r="D365" s="291"/>
      <c r="E365" s="291"/>
      <c r="F365" s="291"/>
      <c r="G365" s="295"/>
      <c r="I365" s="294">
        <f t="shared" si="34"/>
        <v>56066</v>
      </c>
      <c r="J365" s="291">
        <f t="shared" si="35"/>
        <v>1.064108801074326E-10</v>
      </c>
      <c r="K365" s="291">
        <f t="shared" si="30"/>
        <v>0</v>
      </c>
      <c r="L365" s="291">
        <f t="shared" si="31"/>
        <v>0</v>
      </c>
      <c r="M365" s="291">
        <f t="shared" si="32"/>
        <v>0</v>
      </c>
      <c r="N365" s="295">
        <f t="shared" si="33"/>
        <v>1.064108801074326E-10</v>
      </c>
    </row>
    <row r="366" spans="2:14" x14ac:dyDescent="0.45">
      <c r="B366" s="294"/>
      <c r="C366" s="291"/>
      <c r="D366" s="291"/>
      <c r="E366" s="291"/>
      <c r="F366" s="291"/>
      <c r="G366" s="295"/>
      <c r="I366" s="294">
        <f t="shared" si="34"/>
        <v>56097</v>
      </c>
      <c r="J366" s="291">
        <f t="shared" si="35"/>
        <v>1.064108801074326E-10</v>
      </c>
      <c r="K366" s="291">
        <f t="shared" si="30"/>
        <v>0</v>
      </c>
      <c r="L366" s="291">
        <f t="shared" si="31"/>
        <v>0</v>
      </c>
      <c r="M366" s="291">
        <f t="shared" si="32"/>
        <v>0</v>
      </c>
      <c r="N366" s="295">
        <f t="shared" si="33"/>
        <v>1.064108801074326E-10</v>
      </c>
    </row>
    <row r="367" spans="2:14" x14ac:dyDescent="0.45">
      <c r="B367" s="294"/>
      <c r="C367" s="291"/>
      <c r="D367" s="291"/>
      <c r="E367" s="291"/>
      <c r="F367" s="291"/>
      <c r="G367" s="295"/>
      <c r="I367" s="294">
        <f t="shared" si="34"/>
        <v>56128</v>
      </c>
      <c r="J367" s="291">
        <f t="shared" si="35"/>
        <v>1.064108801074326E-10</v>
      </c>
      <c r="K367" s="291">
        <f t="shared" si="30"/>
        <v>0</v>
      </c>
      <c r="L367" s="291">
        <f t="shared" si="31"/>
        <v>0</v>
      </c>
      <c r="M367" s="291">
        <f t="shared" si="32"/>
        <v>0</v>
      </c>
      <c r="N367" s="295">
        <f t="shared" si="33"/>
        <v>1.064108801074326E-10</v>
      </c>
    </row>
    <row r="368" spans="2:14" x14ac:dyDescent="0.45">
      <c r="B368" s="294"/>
      <c r="C368" s="291"/>
      <c r="D368" s="291"/>
      <c r="E368" s="291"/>
      <c r="F368" s="291"/>
      <c r="G368" s="295"/>
      <c r="I368" s="294">
        <f t="shared" si="34"/>
        <v>56158</v>
      </c>
      <c r="J368" s="291">
        <f t="shared" si="35"/>
        <v>1.064108801074326E-10</v>
      </c>
      <c r="K368" s="291">
        <f t="shared" si="30"/>
        <v>0</v>
      </c>
      <c r="L368" s="291">
        <f t="shared" si="31"/>
        <v>0</v>
      </c>
      <c r="M368" s="291">
        <f t="shared" si="32"/>
        <v>0</v>
      </c>
      <c r="N368" s="295">
        <f t="shared" si="33"/>
        <v>1.064108801074326E-10</v>
      </c>
    </row>
    <row r="369" spans="2:14" x14ac:dyDescent="0.45">
      <c r="B369" s="294"/>
      <c r="C369" s="291"/>
      <c r="D369" s="291"/>
      <c r="E369" s="291"/>
      <c r="F369" s="291"/>
      <c r="G369" s="295"/>
      <c r="I369" s="294">
        <f t="shared" si="34"/>
        <v>56189</v>
      </c>
      <c r="J369" s="291">
        <f t="shared" si="35"/>
        <v>1.064108801074326E-10</v>
      </c>
      <c r="K369" s="291">
        <f t="shared" si="30"/>
        <v>0</v>
      </c>
      <c r="L369" s="291">
        <f t="shared" si="31"/>
        <v>0</v>
      </c>
      <c r="M369" s="291">
        <f t="shared" si="32"/>
        <v>0</v>
      </c>
      <c r="N369" s="295">
        <f t="shared" si="33"/>
        <v>1.064108801074326E-10</v>
      </c>
    </row>
    <row r="370" spans="2:14" x14ac:dyDescent="0.45">
      <c r="B370" s="294"/>
      <c r="C370" s="291"/>
      <c r="D370" s="291"/>
      <c r="E370" s="291"/>
      <c r="F370" s="291"/>
      <c r="G370" s="295"/>
      <c r="I370" s="294">
        <f t="shared" si="34"/>
        <v>56219</v>
      </c>
      <c r="J370" s="291">
        <f t="shared" si="35"/>
        <v>1.064108801074326E-10</v>
      </c>
      <c r="K370" s="291">
        <f t="shared" si="30"/>
        <v>0</v>
      </c>
      <c r="L370" s="291">
        <f t="shared" si="31"/>
        <v>0</v>
      </c>
      <c r="M370" s="291">
        <f t="shared" si="32"/>
        <v>0</v>
      </c>
      <c r="N370" s="295">
        <f t="shared" si="33"/>
        <v>1.064108801074326E-10</v>
      </c>
    </row>
    <row r="371" spans="2:14" x14ac:dyDescent="0.45">
      <c r="B371" s="294"/>
      <c r="C371" s="291"/>
      <c r="D371" s="291"/>
      <c r="E371" s="291"/>
      <c r="F371" s="291"/>
      <c r="G371" s="295"/>
      <c r="I371" s="294">
        <f t="shared" si="34"/>
        <v>56250</v>
      </c>
      <c r="J371" s="291">
        <f t="shared" si="35"/>
        <v>1.064108801074326E-10</v>
      </c>
      <c r="K371" s="291">
        <f t="shared" si="30"/>
        <v>0</v>
      </c>
      <c r="L371" s="291">
        <f t="shared" si="31"/>
        <v>0</v>
      </c>
      <c r="M371" s="291">
        <f t="shared" si="32"/>
        <v>0</v>
      </c>
      <c r="N371" s="295">
        <f t="shared" si="33"/>
        <v>1.064108801074326E-10</v>
      </c>
    </row>
    <row r="372" spans="2:14" x14ac:dyDescent="0.45">
      <c r="B372" s="294"/>
      <c r="C372" s="291"/>
      <c r="D372" s="291"/>
      <c r="E372" s="291"/>
      <c r="F372" s="291"/>
      <c r="G372" s="295"/>
      <c r="I372" s="294">
        <f t="shared" si="34"/>
        <v>56281</v>
      </c>
      <c r="J372" s="291">
        <f t="shared" si="35"/>
        <v>1.064108801074326E-10</v>
      </c>
      <c r="K372" s="291">
        <f t="shared" si="30"/>
        <v>0</v>
      </c>
      <c r="L372" s="291">
        <f t="shared" si="31"/>
        <v>0</v>
      </c>
      <c r="M372" s="291">
        <f t="shared" si="32"/>
        <v>0</v>
      </c>
      <c r="N372" s="295">
        <f t="shared" si="33"/>
        <v>1.064108801074326E-10</v>
      </c>
    </row>
    <row r="373" spans="2:14" x14ac:dyDescent="0.45">
      <c r="B373" s="294"/>
      <c r="C373" s="291"/>
      <c r="D373" s="291"/>
      <c r="E373" s="291"/>
      <c r="F373" s="291"/>
      <c r="G373" s="295"/>
      <c r="I373" s="294">
        <f t="shared" si="34"/>
        <v>56309</v>
      </c>
      <c r="J373" s="291">
        <f t="shared" si="35"/>
        <v>1.064108801074326E-10</v>
      </c>
      <c r="K373" s="291">
        <f t="shared" si="30"/>
        <v>0</v>
      </c>
      <c r="L373" s="291">
        <f t="shared" si="31"/>
        <v>0</v>
      </c>
      <c r="M373" s="291">
        <f t="shared" si="32"/>
        <v>0</v>
      </c>
      <c r="N373" s="295">
        <f t="shared" si="33"/>
        <v>1.064108801074326E-10</v>
      </c>
    </row>
    <row r="374" spans="2:14" x14ac:dyDescent="0.45">
      <c r="B374" s="294"/>
      <c r="C374" s="291"/>
      <c r="D374" s="291"/>
      <c r="E374" s="291"/>
      <c r="F374" s="291"/>
      <c r="G374" s="295"/>
      <c r="I374" s="294">
        <f t="shared" si="34"/>
        <v>56340</v>
      </c>
      <c r="J374" s="291">
        <f t="shared" si="35"/>
        <v>1.064108801074326E-10</v>
      </c>
      <c r="K374" s="291">
        <f t="shared" si="30"/>
        <v>0</v>
      </c>
      <c r="L374" s="291">
        <f t="shared" si="31"/>
        <v>0</v>
      </c>
      <c r="M374" s="291">
        <f t="shared" si="32"/>
        <v>0</v>
      </c>
      <c r="N374" s="295">
        <f t="shared" si="33"/>
        <v>1.064108801074326E-10</v>
      </c>
    </row>
    <row r="375" spans="2:14" x14ac:dyDescent="0.45">
      <c r="B375" s="294"/>
      <c r="C375" s="291"/>
      <c r="D375" s="291"/>
      <c r="E375" s="291"/>
      <c r="F375" s="291"/>
      <c r="G375" s="295"/>
      <c r="I375" s="294">
        <f t="shared" si="34"/>
        <v>56370</v>
      </c>
      <c r="J375" s="291">
        <f t="shared" si="35"/>
        <v>1.064108801074326E-10</v>
      </c>
      <c r="K375" s="291">
        <f t="shared" si="30"/>
        <v>0</v>
      </c>
      <c r="L375" s="291">
        <f t="shared" si="31"/>
        <v>0</v>
      </c>
      <c r="M375" s="291">
        <f t="shared" si="32"/>
        <v>0</v>
      </c>
      <c r="N375" s="295">
        <f t="shared" si="33"/>
        <v>1.064108801074326E-10</v>
      </c>
    </row>
    <row r="376" spans="2:14" x14ac:dyDescent="0.45">
      <c r="B376" s="294"/>
      <c r="C376" s="291"/>
      <c r="D376" s="291"/>
      <c r="E376" s="291"/>
      <c r="F376" s="291"/>
      <c r="G376" s="295"/>
      <c r="I376" s="294">
        <f t="shared" si="34"/>
        <v>56401</v>
      </c>
      <c r="J376" s="291">
        <f t="shared" si="35"/>
        <v>1.064108801074326E-10</v>
      </c>
      <c r="K376" s="291">
        <f t="shared" si="30"/>
        <v>0</v>
      </c>
      <c r="L376" s="291">
        <f t="shared" si="31"/>
        <v>0</v>
      </c>
      <c r="M376" s="291">
        <f t="shared" si="32"/>
        <v>0</v>
      </c>
      <c r="N376" s="295">
        <f t="shared" si="33"/>
        <v>1.064108801074326E-10</v>
      </c>
    </row>
    <row r="377" spans="2:14" x14ac:dyDescent="0.45">
      <c r="B377" s="294"/>
      <c r="C377" s="291"/>
      <c r="D377" s="291"/>
      <c r="E377" s="291"/>
      <c r="F377" s="291"/>
      <c r="G377" s="295"/>
      <c r="I377" s="294">
        <f t="shared" si="34"/>
        <v>56431</v>
      </c>
      <c r="J377" s="291">
        <f t="shared" si="35"/>
        <v>1.064108801074326E-10</v>
      </c>
      <c r="K377" s="291">
        <f t="shared" si="30"/>
        <v>0</v>
      </c>
      <c r="L377" s="291">
        <f t="shared" si="31"/>
        <v>0</v>
      </c>
      <c r="M377" s="291">
        <f t="shared" si="32"/>
        <v>0</v>
      </c>
      <c r="N377" s="295">
        <f t="shared" si="33"/>
        <v>1.064108801074326E-10</v>
      </c>
    </row>
    <row r="378" spans="2:14" x14ac:dyDescent="0.45">
      <c r="B378" s="294"/>
      <c r="C378" s="291"/>
      <c r="D378" s="291"/>
      <c r="E378" s="291"/>
      <c r="F378" s="291"/>
      <c r="G378" s="295"/>
      <c r="I378" s="294">
        <f t="shared" si="34"/>
        <v>56462</v>
      </c>
      <c r="J378" s="291">
        <f t="shared" si="35"/>
        <v>1.064108801074326E-10</v>
      </c>
      <c r="K378" s="291">
        <f t="shared" si="30"/>
        <v>0</v>
      </c>
      <c r="L378" s="291">
        <f t="shared" si="31"/>
        <v>0</v>
      </c>
      <c r="M378" s="291">
        <f t="shared" si="32"/>
        <v>0</v>
      </c>
      <c r="N378" s="295">
        <f t="shared" si="33"/>
        <v>1.064108801074326E-10</v>
      </c>
    </row>
    <row r="379" spans="2:14" x14ac:dyDescent="0.45">
      <c r="B379" s="294"/>
      <c r="C379" s="291"/>
      <c r="D379" s="291"/>
      <c r="E379" s="291"/>
      <c r="F379" s="291"/>
      <c r="G379" s="295"/>
      <c r="I379" s="294">
        <f t="shared" si="34"/>
        <v>56493</v>
      </c>
      <c r="J379" s="291">
        <f t="shared" si="35"/>
        <v>1.064108801074326E-10</v>
      </c>
      <c r="K379" s="291">
        <f t="shared" si="30"/>
        <v>0</v>
      </c>
      <c r="L379" s="291">
        <f t="shared" si="31"/>
        <v>0</v>
      </c>
      <c r="M379" s="291">
        <f t="shared" si="32"/>
        <v>0</v>
      </c>
      <c r="N379" s="295">
        <f t="shared" si="33"/>
        <v>1.064108801074326E-10</v>
      </c>
    </row>
    <row r="380" spans="2:14" x14ac:dyDescent="0.45">
      <c r="B380" s="294"/>
      <c r="C380" s="291"/>
      <c r="D380" s="291"/>
      <c r="E380" s="291"/>
      <c r="F380" s="291"/>
      <c r="G380" s="295"/>
      <c r="I380" s="294">
        <f t="shared" si="34"/>
        <v>56523</v>
      </c>
      <c r="J380" s="291">
        <f t="shared" si="35"/>
        <v>1.064108801074326E-10</v>
      </c>
      <c r="K380" s="291">
        <f t="shared" si="30"/>
        <v>0</v>
      </c>
      <c r="L380" s="291">
        <f t="shared" si="31"/>
        <v>0</v>
      </c>
      <c r="M380" s="291">
        <f t="shared" si="32"/>
        <v>0</v>
      </c>
      <c r="N380" s="295">
        <f t="shared" si="33"/>
        <v>1.064108801074326E-10</v>
      </c>
    </row>
    <row r="381" spans="2:14" x14ac:dyDescent="0.45">
      <c r="B381" s="294"/>
      <c r="C381" s="291"/>
      <c r="D381" s="291"/>
      <c r="E381" s="291"/>
      <c r="F381" s="291"/>
      <c r="G381" s="295"/>
      <c r="I381" s="294">
        <f t="shared" si="34"/>
        <v>56554</v>
      </c>
      <c r="J381" s="291">
        <f t="shared" si="35"/>
        <v>1.064108801074326E-10</v>
      </c>
      <c r="K381" s="291">
        <f t="shared" si="30"/>
        <v>0</v>
      </c>
      <c r="L381" s="291">
        <f t="shared" si="31"/>
        <v>0</v>
      </c>
      <c r="M381" s="291">
        <f t="shared" si="32"/>
        <v>0</v>
      </c>
      <c r="N381" s="295">
        <f t="shared" si="33"/>
        <v>1.064108801074326E-10</v>
      </c>
    </row>
    <row r="382" spans="2:14" x14ac:dyDescent="0.45">
      <c r="B382" s="294"/>
      <c r="C382" s="291"/>
      <c r="D382" s="291"/>
      <c r="E382" s="291"/>
      <c r="F382" s="291"/>
      <c r="G382" s="295"/>
      <c r="I382" s="294">
        <f t="shared" si="34"/>
        <v>56584</v>
      </c>
      <c r="J382" s="291">
        <f t="shared" si="35"/>
        <v>1.064108801074326E-10</v>
      </c>
      <c r="K382" s="291">
        <f t="shared" si="30"/>
        <v>0</v>
      </c>
      <c r="L382" s="291">
        <f t="shared" si="31"/>
        <v>0</v>
      </c>
      <c r="M382" s="291">
        <f t="shared" si="32"/>
        <v>0</v>
      </c>
      <c r="N382" s="295">
        <f t="shared" si="33"/>
        <v>1.064108801074326E-10</v>
      </c>
    </row>
    <row r="383" spans="2:14" x14ac:dyDescent="0.45">
      <c r="B383" s="294"/>
      <c r="C383" s="291"/>
      <c r="D383" s="291"/>
      <c r="E383" s="291"/>
      <c r="F383" s="291"/>
      <c r="G383" s="295"/>
      <c r="I383" s="294">
        <f t="shared" si="34"/>
        <v>56615</v>
      </c>
      <c r="J383" s="291">
        <f t="shared" si="35"/>
        <v>1.064108801074326E-10</v>
      </c>
      <c r="K383" s="291">
        <f t="shared" si="30"/>
        <v>0</v>
      </c>
      <c r="L383" s="291">
        <f t="shared" si="31"/>
        <v>0</v>
      </c>
      <c r="M383" s="291">
        <f t="shared" si="32"/>
        <v>0</v>
      </c>
      <c r="N383" s="295">
        <f t="shared" si="33"/>
        <v>1.064108801074326E-10</v>
      </c>
    </row>
    <row r="384" spans="2:14" x14ac:dyDescent="0.45">
      <c r="B384" s="294"/>
      <c r="C384" s="291"/>
      <c r="D384" s="291"/>
      <c r="E384" s="291"/>
      <c r="F384" s="291"/>
      <c r="G384" s="295"/>
      <c r="I384" s="294">
        <f t="shared" si="34"/>
        <v>56646</v>
      </c>
      <c r="J384" s="291">
        <f t="shared" si="35"/>
        <v>1.064108801074326E-10</v>
      </c>
      <c r="K384" s="291">
        <f t="shared" si="30"/>
        <v>0</v>
      </c>
      <c r="L384" s="291">
        <f t="shared" si="31"/>
        <v>0</v>
      </c>
      <c r="M384" s="291">
        <f t="shared" si="32"/>
        <v>0</v>
      </c>
      <c r="N384" s="295">
        <f t="shared" si="33"/>
        <v>1.064108801074326E-10</v>
      </c>
    </row>
    <row r="385" spans="2:14" x14ac:dyDescent="0.45">
      <c r="B385" s="294"/>
      <c r="C385" s="291"/>
      <c r="D385" s="291"/>
      <c r="E385" s="291"/>
      <c r="F385" s="291"/>
      <c r="G385" s="295"/>
      <c r="I385" s="294">
        <f t="shared" si="34"/>
        <v>56674</v>
      </c>
      <c r="J385" s="291">
        <f t="shared" si="35"/>
        <v>1.064108801074326E-10</v>
      </c>
      <c r="K385" s="291">
        <f t="shared" si="30"/>
        <v>0</v>
      </c>
      <c r="L385" s="291">
        <f t="shared" si="31"/>
        <v>0</v>
      </c>
      <c r="M385" s="291">
        <f t="shared" si="32"/>
        <v>0</v>
      </c>
      <c r="N385" s="295">
        <f t="shared" si="33"/>
        <v>1.064108801074326E-10</v>
      </c>
    </row>
    <row r="386" spans="2:14" x14ac:dyDescent="0.45">
      <c r="B386" s="294"/>
      <c r="C386" s="291"/>
      <c r="D386" s="291"/>
      <c r="E386" s="291"/>
      <c r="F386" s="291"/>
      <c r="G386" s="295"/>
      <c r="I386" s="294">
        <f t="shared" si="34"/>
        <v>56705</v>
      </c>
      <c r="J386" s="291">
        <f t="shared" si="35"/>
        <v>1.064108801074326E-10</v>
      </c>
      <c r="K386" s="291">
        <f t="shared" si="30"/>
        <v>0</v>
      </c>
      <c r="L386" s="291">
        <f t="shared" si="31"/>
        <v>0</v>
      </c>
      <c r="M386" s="291">
        <f t="shared" si="32"/>
        <v>0</v>
      </c>
      <c r="N386" s="295">
        <f t="shared" si="33"/>
        <v>1.064108801074326E-10</v>
      </c>
    </row>
    <row r="387" spans="2:14" x14ac:dyDescent="0.45">
      <c r="B387" s="294"/>
      <c r="C387" s="291"/>
      <c r="D387" s="291"/>
      <c r="E387" s="291"/>
      <c r="F387" s="291"/>
      <c r="G387" s="295"/>
      <c r="I387" s="294">
        <f t="shared" si="34"/>
        <v>56735</v>
      </c>
      <c r="J387" s="291">
        <f t="shared" si="35"/>
        <v>1.064108801074326E-10</v>
      </c>
      <c r="K387" s="291">
        <f t="shared" si="30"/>
        <v>0</v>
      </c>
      <c r="L387" s="291">
        <f t="shared" si="31"/>
        <v>0</v>
      </c>
      <c r="M387" s="291">
        <f t="shared" si="32"/>
        <v>0</v>
      </c>
      <c r="N387" s="295">
        <f t="shared" si="33"/>
        <v>1.064108801074326E-10</v>
      </c>
    </row>
    <row r="388" spans="2:14" x14ac:dyDescent="0.45">
      <c r="B388" s="294"/>
      <c r="C388" s="291"/>
      <c r="D388" s="291"/>
      <c r="E388" s="291"/>
      <c r="F388" s="291"/>
      <c r="G388" s="295"/>
      <c r="I388" s="294">
        <f t="shared" si="34"/>
        <v>56766</v>
      </c>
      <c r="J388" s="291">
        <f t="shared" si="35"/>
        <v>1.064108801074326E-10</v>
      </c>
      <c r="K388" s="291">
        <f t="shared" si="30"/>
        <v>0</v>
      </c>
      <c r="L388" s="291">
        <f t="shared" si="31"/>
        <v>0</v>
      </c>
      <c r="M388" s="291">
        <f t="shared" si="32"/>
        <v>0</v>
      </c>
      <c r="N388" s="295">
        <f t="shared" si="33"/>
        <v>1.064108801074326E-10</v>
      </c>
    </row>
    <row r="389" spans="2:14" x14ac:dyDescent="0.45">
      <c r="B389" s="294"/>
      <c r="C389" s="291"/>
      <c r="D389" s="291"/>
      <c r="E389" s="291"/>
      <c r="F389" s="291"/>
      <c r="G389" s="295"/>
      <c r="I389" s="294">
        <f t="shared" si="34"/>
        <v>56796</v>
      </c>
      <c r="J389" s="291">
        <f t="shared" si="35"/>
        <v>1.064108801074326E-10</v>
      </c>
      <c r="K389" s="291">
        <f t="shared" si="30"/>
        <v>0</v>
      </c>
      <c r="L389" s="291">
        <f t="shared" si="31"/>
        <v>0</v>
      </c>
      <c r="M389" s="291">
        <f t="shared" si="32"/>
        <v>0</v>
      </c>
      <c r="N389" s="295">
        <f t="shared" si="33"/>
        <v>1.064108801074326E-10</v>
      </c>
    </row>
    <row r="390" spans="2:14" x14ac:dyDescent="0.45">
      <c r="B390" s="294"/>
      <c r="C390" s="291"/>
      <c r="D390" s="291"/>
      <c r="E390" s="291"/>
      <c r="F390" s="291"/>
      <c r="G390" s="295"/>
      <c r="I390" s="294">
        <f t="shared" si="34"/>
        <v>56827</v>
      </c>
      <c r="J390" s="291">
        <f t="shared" si="35"/>
        <v>1.064108801074326E-10</v>
      </c>
      <c r="K390" s="291">
        <f t="shared" si="30"/>
        <v>0</v>
      </c>
      <c r="L390" s="291">
        <f t="shared" si="31"/>
        <v>0</v>
      </c>
      <c r="M390" s="291">
        <f t="shared" si="32"/>
        <v>0</v>
      </c>
      <c r="N390" s="295">
        <f t="shared" si="33"/>
        <v>1.064108801074326E-10</v>
      </c>
    </row>
    <row r="391" spans="2:14" x14ac:dyDescent="0.45">
      <c r="B391" s="294"/>
      <c r="C391" s="291"/>
      <c r="D391" s="291"/>
      <c r="E391" s="291"/>
      <c r="F391" s="291"/>
      <c r="G391" s="295"/>
      <c r="I391" s="294">
        <f t="shared" si="34"/>
        <v>56858</v>
      </c>
      <c r="J391" s="291">
        <f t="shared" si="35"/>
        <v>1.064108801074326E-10</v>
      </c>
      <c r="K391" s="291">
        <f t="shared" si="30"/>
        <v>0</v>
      </c>
      <c r="L391" s="291">
        <f t="shared" si="31"/>
        <v>0</v>
      </c>
      <c r="M391" s="291">
        <f t="shared" si="32"/>
        <v>0</v>
      </c>
      <c r="N391" s="295">
        <f t="shared" si="33"/>
        <v>1.064108801074326E-10</v>
      </c>
    </row>
    <row r="392" spans="2:14" x14ac:dyDescent="0.45">
      <c r="B392" s="294"/>
      <c r="C392" s="291"/>
      <c r="D392" s="291"/>
      <c r="E392" s="291"/>
      <c r="F392" s="291"/>
      <c r="G392" s="295"/>
      <c r="I392" s="294">
        <f t="shared" si="34"/>
        <v>56888</v>
      </c>
      <c r="J392" s="291">
        <f t="shared" si="35"/>
        <v>1.064108801074326E-10</v>
      </c>
      <c r="K392" s="291">
        <f t="shared" si="30"/>
        <v>0</v>
      </c>
      <c r="L392" s="291">
        <f t="shared" si="31"/>
        <v>0</v>
      </c>
      <c r="M392" s="291">
        <f t="shared" si="32"/>
        <v>0</v>
      </c>
      <c r="N392" s="295">
        <f t="shared" si="33"/>
        <v>1.064108801074326E-10</v>
      </c>
    </row>
    <row r="393" spans="2:14" x14ac:dyDescent="0.45">
      <c r="B393" s="294"/>
      <c r="C393" s="291"/>
      <c r="D393" s="291"/>
      <c r="E393" s="291"/>
      <c r="F393" s="291"/>
      <c r="G393" s="295"/>
      <c r="I393" s="294">
        <f t="shared" si="34"/>
        <v>56919</v>
      </c>
      <c r="J393" s="291">
        <f t="shared" si="35"/>
        <v>1.064108801074326E-10</v>
      </c>
      <c r="K393" s="291">
        <f t="shared" si="30"/>
        <v>0</v>
      </c>
      <c r="L393" s="291">
        <f t="shared" si="31"/>
        <v>0</v>
      </c>
      <c r="M393" s="291">
        <f t="shared" si="32"/>
        <v>0</v>
      </c>
      <c r="N393" s="295">
        <f t="shared" si="33"/>
        <v>1.064108801074326E-10</v>
      </c>
    </row>
    <row r="394" spans="2:14" x14ac:dyDescent="0.45">
      <c r="B394" s="294"/>
      <c r="C394" s="291"/>
      <c r="D394" s="291"/>
      <c r="E394" s="291"/>
      <c r="F394" s="291"/>
      <c r="G394" s="295"/>
      <c r="I394" s="294">
        <f t="shared" si="34"/>
        <v>56949</v>
      </c>
      <c r="J394" s="291">
        <f t="shared" si="35"/>
        <v>1.064108801074326E-10</v>
      </c>
      <c r="K394" s="291">
        <f t="shared" si="30"/>
        <v>0</v>
      </c>
      <c r="L394" s="291">
        <f t="shared" si="31"/>
        <v>0</v>
      </c>
      <c r="M394" s="291">
        <f t="shared" si="32"/>
        <v>0</v>
      </c>
      <c r="N394" s="295">
        <f t="shared" si="33"/>
        <v>1.064108801074326E-10</v>
      </c>
    </row>
    <row r="395" spans="2:14" x14ac:dyDescent="0.45">
      <c r="B395" s="294"/>
      <c r="C395" s="291"/>
      <c r="D395" s="291"/>
      <c r="E395" s="291"/>
      <c r="F395" s="291"/>
      <c r="G395" s="295"/>
      <c r="I395" s="294">
        <f t="shared" si="34"/>
        <v>56980</v>
      </c>
      <c r="J395" s="291">
        <f t="shared" si="35"/>
        <v>1.064108801074326E-10</v>
      </c>
      <c r="K395" s="291">
        <f t="shared" si="30"/>
        <v>0</v>
      </c>
      <c r="L395" s="291">
        <f t="shared" si="31"/>
        <v>0</v>
      </c>
      <c r="M395" s="291">
        <f t="shared" si="32"/>
        <v>0</v>
      </c>
      <c r="N395" s="295">
        <f t="shared" si="33"/>
        <v>1.064108801074326E-10</v>
      </c>
    </row>
    <row r="396" spans="2:14" x14ac:dyDescent="0.45">
      <c r="B396" s="294"/>
      <c r="C396" s="291"/>
      <c r="D396" s="291"/>
      <c r="E396" s="291"/>
      <c r="F396" s="291"/>
      <c r="G396" s="295"/>
      <c r="I396" s="294">
        <f t="shared" si="34"/>
        <v>57011</v>
      </c>
      <c r="J396" s="291">
        <f t="shared" si="35"/>
        <v>1.064108801074326E-10</v>
      </c>
      <c r="K396" s="291">
        <f t="shared" ref="K396:K459" si="36">IF(ROUNDDOWN(J396,0)=0,0,PMT($L$4/12,$L$7,-$L$8)+$L$5)</f>
        <v>0</v>
      </c>
      <c r="L396" s="291">
        <f t="shared" ref="L396:L459" si="37">IF(ROUNDDOWN(J396,0)=0,0,(J396*$L$4/12)+$L$5)</f>
        <v>0</v>
      </c>
      <c r="M396" s="291">
        <f t="shared" ref="M396:M459" si="38">K396-L396</f>
        <v>0</v>
      </c>
      <c r="N396" s="295">
        <f t="shared" ref="N396:N459" si="39">J396-M396</f>
        <v>1.064108801074326E-10</v>
      </c>
    </row>
    <row r="397" spans="2:14" x14ac:dyDescent="0.45">
      <c r="B397" s="294"/>
      <c r="C397" s="291"/>
      <c r="D397" s="291"/>
      <c r="E397" s="291"/>
      <c r="F397" s="291"/>
      <c r="G397" s="295"/>
      <c r="I397" s="294">
        <f t="shared" ref="I397:I460" si="40">EDATE(I396,1)</f>
        <v>57040</v>
      </c>
      <c r="J397" s="291">
        <f t="shared" ref="J397:J460" si="41">N396</f>
        <v>1.064108801074326E-10</v>
      </c>
      <c r="K397" s="291">
        <f t="shared" si="36"/>
        <v>0</v>
      </c>
      <c r="L397" s="291">
        <f t="shared" si="37"/>
        <v>0</v>
      </c>
      <c r="M397" s="291">
        <f t="shared" si="38"/>
        <v>0</v>
      </c>
      <c r="N397" s="295">
        <f t="shared" si="39"/>
        <v>1.064108801074326E-10</v>
      </c>
    </row>
    <row r="398" spans="2:14" x14ac:dyDescent="0.45">
      <c r="B398" s="294"/>
      <c r="C398" s="291"/>
      <c r="D398" s="291"/>
      <c r="E398" s="291"/>
      <c r="F398" s="291"/>
      <c r="G398" s="295"/>
      <c r="I398" s="294">
        <f t="shared" si="40"/>
        <v>57071</v>
      </c>
      <c r="J398" s="291">
        <f t="shared" si="41"/>
        <v>1.064108801074326E-10</v>
      </c>
      <c r="K398" s="291">
        <f t="shared" si="36"/>
        <v>0</v>
      </c>
      <c r="L398" s="291">
        <f t="shared" si="37"/>
        <v>0</v>
      </c>
      <c r="M398" s="291">
        <f t="shared" si="38"/>
        <v>0</v>
      </c>
      <c r="N398" s="295">
        <f t="shared" si="39"/>
        <v>1.064108801074326E-10</v>
      </c>
    </row>
    <row r="399" spans="2:14" x14ac:dyDescent="0.45">
      <c r="B399" s="294"/>
      <c r="C399" s="291"/>
      <c r="D399" s="291"/>
      <c r="E399" s="291"/>
      <c r="F399" s="291"/>
      <c r="G399" s="295"/>
      <c r="I399" s="294">
        <f t="shared" si="40"/>
        <v>57101</v>
      </c>
      <c r="J399" s="291">
        <f t="shared" si="41"/>
        <v>1.064108801074326E-10</v>
      </c>
      <c r="K399" s="291">
        <f t="shared" si="36"/>
        <v>0</v>
      </c>
      <c r="L399" s="291">
        <f t="shared" si="37"/>
        <v>0</v>
      </c>
      <c r="M399" s="291">
        <f t="shared" si="38"/>
        <v>0</v>
      </c>
      <c r="N399" s="295">
        <f t="shared" si="39"/>
        <v>1.064108801074326E-10</v>
      </c>
    </row>
    <row r="400" spans="2:14" x14ac:dyDescent="0.45">
      <c r="B400" s="294"/>
      <c r="C400" s="291"/>
      <c r="D400" s="291"/>
      <c r="E400" s="291"/>
      <c r="F400" s="291"/>
      <c r="G400" s="295"/>
      <c r="I400" s="294">
        <f t="shared" si="40"/>
        <v>57132</v>
      </c>
      <c r="J400" s="291">
        <f t="shared" si="41"/>
        <v>1.064108801074326E-10</v>
      </c>
      <c r="K400" s="291">
        <f t="shared" si="36"/>
        <v>0</v>
      </c>
      <c r="L400" s="291">
        <f t="shared" si="37"/>
        <v>0</v>
      </c>
      <c r="M400" s="291">
        <f t="shared" si="38"/>
        <v>0</v>
      </c>
      <c r="N400" s="295">
        <f t="shared" si="39"/>
        <v>1.064108801074326E-10</v>
      </c>
    </row>
    <row r="401" spans="2:14" x14ac:dyDescent="0.45">
      <c r="B401" s="294"/>
      <c r="C401" s="291"/>
      <c r="D401" s="291"/>
      <c r="E401" s="291"/>
      <c r="F401" s="291"/>
      <c r="G401" s="295"/>
      <c r="I401" s="294">
        <f t="shared" si="40"/>
        <v>57162</v>
      </c>
      <c r="J401" s="291">
        <f t="shared" si="41"/>
        <v>1.064108801074326E-10</v>
      </c>
      <c r="K401" s="291">
        <f t="shared" si="36"/>
        <v>0</v>
      </c>
      <c r="L401" s="291">
        <f t="shared" si="37"/>
        <v>0</v>
      </c>
      <c r="M401" s="291">
        <f t="shared" si="38"/>
        <v>0</v>
      </c>
      <c r="N401" s="295">
        <f t="shared" si="39"/>
        <v>1.064108801074326E-10</v>
      </c>
    </row>
    <row r="402" spans="2:14" x14ac:dyDescent="0.45">
      <c r="B402" s="294"/>
      <c r="C402" s="291"/>
      <c r="D402" s="291"/>
      <c r="E402" s="291"/>
      <c r="F402" s="291"/>
      <c r="G402" s="295"/>
      <c r="I402" s="294">
        <f t="shared" si="40"/>
        <v>57193</v>
      </c>
      <c r="J402" s="291">
        <f t="shared" si="41"/>
        <v>1.064108801074326E-10</v>
      </c>
      <c r="K402" s="291">
        <f t="shared" si="36"/>
        <v>0</v>
      </c>
      <c r="L402" s="291">
        <f t="shared" si="37"/>
        <v>0</v>
      </c>
      <c r="M402" s="291">
        <f t="shared" si="38"/>
        <v>0</v>
      </c>
      <c r="N402" s="295">
        <f t="shared" si="39"/>
        <v>1.064108801074326E-10</v>
      </c>
    </row>
    <row r="403" spans="2:14" x14ac:dyDescent="0.45">
      <c r="B403" s="294"/>
      <c r="C403" s="291"/>
      <c r="D403" s="291"/>
      <c r="E403" s="291"/>
      <c r="F403" s="291"/>
      <c r="G403" s="295"/>
      <c r="I403" s="294">
        <f t="shared" si="40"/>
        <v>57224</v>
      </c>
      <c r="J403" s="291">
        <f t="shared" si="41"/>
        <v>1.064108801074326E-10</v>
      </c>
      <c r="K403" s="291">
        <f t="shared" si="36"/>
        <v>0</v>
      </c>
      <c r="L403" s="291">
        <f t="shared" si="37"/>
        <v>0</v>
      </c>
      <c r="M403" s="291">
        <f t="shared" si="38"/>
        <v>0</v>
      </c>
      <c r="N403" s="295">
        <f t="shared" si="39"/>
        <v>1.064108801074326E-10</v>
      </c>
    </row>
    <row r="404" spans="2:14" x14ac:dyDescent="0.45">
      <c r="B404" s="294"/>
      <c r="C404" s="291"/>
      <c r="D404" s="291"/>
      <c r="E404" s="291"/>
      <c r="F404" s="291"/>
      <c r="G404" s="295"/>
      <c r="I404" s="294">
        <f t="shared" si="40"/>
        <v>57254</v>
      </c>
      <c r="J404" s="291">
        <f t="shared" si="41"/>
        <v>1.064108801074326E-10</v>
      </c>
      <c r="K404" s="291">
        <f t="shared" si="36"/>
        <v>0</v>
      </c>
      <c r="L404" s="291">
        <f t="shared" si="37"/>
        <v>0</v>
      </c>
      <c r="M404" s="291">
        <f t="shared" si="38"/>
        <v>0</v>
      </c>
      <c r="N404" s="295">
        <f t="shared" si="39"/>
        <v>1.064108801074326E-10</v>
      </c>
    </row>
    <row r="405" spans="2:14" x14ac:dyDescent="0.45">
      <c r="B405" s="294"/>
      <c r="C405" s="291"/>
      <c r="D405" s="291"/>
      <c r="E405" s="291"/>
      <c r="F405" s="291"/>
      <c r="G405" s="295"/>
      <c r="I405" s="294">
        <f t="shared" si="40"/>
        <v>57285</v>
      </c>
      <c r="J405" s="291">
        <f t="shared" si="41"/>
        <v>1.064108801074326E-10</v>
      </c>
      <c r="K405" s="291">
        <f t="shared" si="36"/>
        <v>0</v>
      </c>
      <c r="L405" s="291">
        <f t="shared" si="37"/>
        <v>0</v>
      </c>
      <c r="M405" s="291">
        <f t="shared" si="38"/>
        <v>0</v>
      </c>
      <c r="N405" s="295">
        <f t="shared" si="39"/>
        <v>1.064108801074326E-10</v>
      </c>
    </row>
    <row r="406" spans="2:14" x14ac:dyDescent="0.45">
      <c r="B406" s="294"/>
      <c r="C406" s="291"/>
      <c r="D406" s="291"/>
      <c r="E406" s="291"/>
      <c r="F406" s="291"/>
      <c r="G406" s="295"/>
      <c r="I406" s="294">
        <f t="shared" si="40"/>
        <v>57315</v>
      </c>
      <c r="J406" s="291">
        <f t="shared" si="41"/>
        <v>1.064108801074326E-10</v>
      </c>
      <c r="K406" s="291">
        <f t="shared" si="36"/>
        <v>0</v>
      </c>
      <c r="L406" s="291">
        <f t="shared" si="37"/>
        <v>0</v>
      </c>
      <c r="M406" s="291">
        <f t="shared" si="38"/>
        <v>0</v>
      </c>
      <c r="N406" s="295">
        <f t="shared" si="39"/>
        <v>1.064108801074326E-10</v>
      </c>
    </row>
    <row r="407" spans="2:14" x14ac:dyDescent="0.45">
      <c r="B407" s="294"/>
      <c r="C407" s="291"/>
      <c r="D407" s="291"/>
      <c r="E407" s="291"/>
      <c r="F407" s="291"/>
      <c r="G407" s="295"/>
      <c r="I407" s="294">
        <f t="shared" si="40"/>
        <v>57346</v>
      </c>
      <c r="J407" s="291">
        <f t="shared" si="41"/>
        <v>1.064108801074326E-10</v>
      </c>
      <c r="K407" s="291">
        <f t="shared" si="36"/>
        <v>0</v>
      </c>
      <c r="L407" s="291">
        <f t="shared" si="37"/>
        <v>0</v>
      </c>
      <c r="M407" s="291">
        <f t="shared" si="38"/>
        <v>0</v>
      </c>
      <c r="N407" s="295">
        <f t="shared" si="39"/>
        <v>1.064108801074326E-10</v>
      </c>
    </row>
    <row r="408" spans="2:14" x14ac:dyDescent="0.45">
      <c r="B408" s="294"/>
      <c r="C408" s="291"/>
      <c r="D408" s="291"/>
      <c r="E408" s="291"/>
      <c r="F408" s="291"/>
      <c r="G408" s="295"/>
      <c r="I408" s="294">
        <f t="shared" si="40"/>
        <v>57377</v>
      </c>
      <c r="J408" s="291">
        <f t="shared" si="41"/>
        <v>1.064108801074326E-10</v>
      </c>
      <c r="K408" s="291">
        <f t="shared" si="36"/>
        <v>0</v>
      </c>
      <c r="L408" s="291">
        <f t="shared" si="37"/>
        <v>0</v>
      </c>
      <c r="M408" s="291">
        <f t="shared" si="38"/>
        <v>0</v>
      </c>
      <c r="N408" s="295">
        <f t="shared" si="39"/>
        <v>1.064108801074326E-10</v>
      </c>
    </row>
    <row r="409" spans="2:14" x14ac:dyDescent="0.45">
      <c r="B409" s="294"/>
      <c r="C409" s="291"/>
      <c r="D409" s="291"/>
      <c r="E409" s="291"/>
      <c r="F409" s="291"/>
      <c r="G409" s="295"/>
      <c r="I409" s="294">
        <f t="shared" si="40"/>
        <v>57405</v>
      </c>
      <c r="J409" s="291">
        <f t="shared" si="41"/>
        <v>1.064108801074326E-10</v>
      </c>
      <c r="K409" s="291">
        <f t="shared" si="36"/>
        <v>0</v>
      </c>
      <c r="L409" s="291">
        <f t="shared" si="37"/>
        <v>0</v>
      </c>
      <c r="M409" s="291">
        <f t="shared" si="38"/>
        <v>0</v>
      </c>
      <c r="N409" s="295">
        <f t="shared" si="39"/>
        <v>1.064108801074326E-10</v>
      </c>
    </row>
    <row r="410" spans="2:14" x14ac:dyDescent="0.45">
      <c r="B410" s="294"/>
      <c r="C410" s="291"/>
      <c r="D410" s="291"/>
      <c r="E410" s="291"/>
      <c r="F410" s="291"/>
      <c r="G410" s="295"/>
      <c r="I410" s="294">
        <f t="shared" si="40"/>
        <v>57436</v>
      </c>
      <c r="J410" s="291">
        <f t="shared" si="41"/>
        <v>1.064108801074326E-10</v>
      </c>
      <c r="K410" s="291">
        <f t="shared" si="36"/>
        <v>0</v>
      </c>
      <c r="L410" s="291">
        <f t="shared" si="37"/>
        <v>0</v>
      </c>
      <c r="M410" s="291">
        <f t="shared" si="38"/>
        <v>0</v>
      </c>
      <c r="N410" s="295">
        <f t="shared" si="39"/>
        <v>1.064108801074326E-10</v>
      </c>
    </row>
    <row r="411" spans="2:14" x14ac:dyDescent="0.45">
      <c r="B411" s="294"/>
      <c r="C411" s="291"/>
      <c r="D411" s="291"/>
      <c r="E411" s="291"/>
      <c r="F411" s="291"/>
      <c r="G411" s="295"/>
      <c r="I411" s="294">
        <f t="shared" si="40"/>
        <v>57466</v>
      </c>
      <c r="J411" s="291">
        <f t="shared" si="41"/>
        <v>1.064108801074326E-10</v>
      </c>
      <c r="K411" s="291">
        <f t="shared" si="36"/>
        <v>0</v>
      </c>
      <c r="L411" s="291">
        <f t="shared" si="37"/>
        <v>0</v>
      </c>
      <c r="M411" s="291">
        <f t="shared" si="38"/>
        <v>0</v>
      </c>
      <c r="N411" s="295">
        <f t="shared" si="39"/>
        <v>1.064108801074326E-10</v>
      </c>
    </row>
    <row r="412" spans="2:14" x14ac:dyDescent="0.45">
      <c r="B412" s="294"/>
      <c r="C412" s="291"/>
      <c r="D412" s="291"/>
      <c r="E412" s="291"/>
      <c r="F412" s="291"/>
      <c r="G412" s="295"/>
      <c r="I412" s="294">
        <f t="shared" si="40"/>
        <v>57497</v>
      </c>
      <c r="J412" s="291">
        <f t="shared" si="41"/>
        <v>1.064108801074326E-10</v>
      </c>
      <c r="K412" s="291">
        <f t="shared" si="36"/>
        <v>0</v>
      </c>
      <c r="L412" s="291">
        <f t="shared" si="37"/>
        <v>0</v>
      </c>
      <c r="M412" s="291">
        <f t="shared" si="38"/>
        <v>0</v>
      </c>
      <c r="N412" s="295">
        <f t="shared" si="39"/>
        <v>1.064108801074326E-10</v>
      </c>
    </row>
    <row r="413" spans="2:14" x14ac:dyDescent="0.45">
      <c r="B413" s="294"/>
      <c r="C413" s="291"/>
      <c r="D413" s="291"/>
      <c r="E413" s="291"/>
      <c r="F413" s="291"/>
      <c r="G413" s="295"/>
      <c r="I413" s="294">
        <f t="shared" si="40"/>
        <v>57527</v>
      </c>
      <c r="J413" s="291">
        <f t="shared" si="41"/>
        <v>1.064108801074326E-10</v>
      </c>
      <c r="K413" s="291">
        <f t="shared" si="36"/>
        <v>0</v>
      </c>
      <c r="L413" s="291">
        <f t="shared" si="37"/>
        <v>0</v>
      </c>
      <c r="M413" s="291">
        <f t="shared" si="38"/>
        <v>0</v>
      </c>
      <c r="N413" s="295">
        <f t="shared" si="39"/>
        <v>1.064108801074326E-10</v>
      </c>
    </row>
    <row r="414" spans="2:14" x14ac:dyDescent="0.45">
      <c r="B414" s="294"/>
      <c r="C414" s="291"/>
      <c r="D414" s="291"/>
      <c r="E414" s="291"/>
      <c r="F414" s="291"/>
      <c r="G414" s="295"/>
      <c r="I414" s="294">
        <f t="shared" si="40"/>
        <v>57558</v>
      </c>
      <c r="J414" s="291">
        <f t="shared" si="41"/>
        <v>1.064108801074326E-10</v>
      </c>
      <c r="K414" s="291">
        <f t="shared" si="36"/>
        <v>0</v>
      </c>
      <c r="L414" s="291">
        <f t="shared" si="37"/>
        <v>0</v>
      </c>
      <c r="M414" s="291">
        <f t="shared" si="38"/>
        <v>0</v>
      </c>
      <c r="N414" s="295">
        <f t="shared" si="39"/>
        <v>1.064108801074326E-10</v>
      </c>
    </row>
    <row r="415" spans="2:14" x14ac:dyDescent="0.45">
      <c r="B415" s="294"/>
      <c r="C415" s="291"/>
      <c r="D415" s="291"/>
      <c r="E415" s="291"/>
      <c r="F415" s="291"/>
      <c r="G415" s="295"/>
      <c r="I415" s="294">
        <f t="shared" si="40"/>
        <v>57589</v>
      </c>
      <c r="J415" s="291">
        <f t="shared" si="41"/>
        <v>1.064108801074326E-10</v>
      </c>
      <c r="K415" s="291">
        <f t="shared" si="36"/>
        <v>0</v>
      </c>
      <c r="L415" s="291">
        <f t="shared" si="37"/>
        <v>0</v>
      </c>
      <c r="M415" s="291">
        <f t="shared" si="38"/>
        <v>0</v>
      </c>
      <c r="N415" s="295">
        <f t="shared" si="39"/>
        <v>1.064108801074326E-10</v>
      </c>
    </row>
    <row r="416" spans="2:14" x14ac:dyDescent="0.45">
      <c r="B416" s="294"/>
      <c r="C416" s="291"/>
      <c r="D416" s="291"/>
      <c r="E416" s="291"/>
      <c r="F416" s="291"/>
      <c r="G416" s="295"/>
      <c r="I416" s="294">
        <f t="shared" si="40"/>
        <v>57619</v>
      </c>
      <c r="J416" s="291">
        <f t="shared" si="41"/>
        <v>1.064108801074326E-10</v>
      </c>
      <c r="K416" s="291">
        <f t="shared" si="36"/>
        <v>0</v>
      </c>
      <c r="L416" s="291">
        <f t="shared" si="37"/>
        <v>0</v>
      </c>
      <c r="M416" s="291">
        <f t="shared" si="38"/>
        <v>0</v>
      </c>
      <c r="N416" s="295">
        <f t="shared" si="39"/>
        <v>1.064108801074326E-10</v>
      </c>
    </row>
    <row r="417" spans="2:14" x14ac:dyDescent="0.45">
      <c r="B417" s="294"/>
      <c r="C417" s="291"/>
      <c r="D417" s="291"/>
      <c r="E417" s="291"/>
      <c r="F417" s="291"/>
      <c r="G417" s="295"/>
      <c r="I417" s="294">
        <f t="shared" si="40"/>
        <v>57650</v>
      </c>
      <c r="J417" s="291">
        <f t="shared" si="41"/>
        <v>1.064108801074326E-10</v>
      </c>
      <c r="K417" s="291">
        <f t="shared" si="36"/>
        <v>0</v>
      </c>
      <c r="L417" s="291">
        <f t="shared" si="37"/>
        <v>0</v>
      </c>
      <c r="M417" s="291">
        <f t="shared" si="38"/>
        <v>0</v>
      </c>
      <c r="N417" s="295">
        <f t="shared" si="39"/>
        <v>1.064108801074326E-10</v>
      </c>
    </row>
    <row r="418" spans="2:14" x14ac:dyDescent="0.45">
      <c r="B418" s="294"/>
      <c r="C418" s="291"/>
      <c r="D418" s="291"/>
      <c r="E418" s="291"/>
      <c r="F418" s="291"/>
      <c r="G418" s="295"/>
      <c r="I418" s="294">
        <f t="shared" si="40"/>
        <v>57680</v>
      </c>
      <c r="J418" s="291">
        <f t="shared" si="41"/>
        <v>1.064108801074326E-10</v>
      </c>
      <c r="K418" s="291">
        <f t="shared" si="36"/>
        <v>0</v>
      </c>
      <c r="L418" s="291">
        <f t="shared" si="37"/>
        <v>0</v>
      </c>
      <c r="M418" s="291">
        <f t="shared" si="38"/>
        <v>0</v>
      </c>
      <c r="N418" s="295">
        <f t="shared" si="39"/>
        <v>1.064108801074326E-10</v>
      </c>
    </row>
    <row r="419" spans="2:14" x14ac:dyDescent="0.45">
      <c r="B419" s="294"/>
      <c r="C419" s="291"/>
      <c r="D419" s="291"/>
      <c r="E419" s="291"/>
      <c r="F419" s="291"/>
      <c r="G419" s="295"/>
      <c r="I419" s="294">
        <f t="shared" si="40"/>
        <v>57711</v>
      </c>
      <c r="J419" s="291">
        <f t="shared" si="41"/>
        <v>1.064108801074326E-10</v>
      </c>
      <c r="K419" s="291">
        <f t="shared" si="36"/>
        <v>0</v>
      </c>
      <c r="L419" s="291">
        <f t="shared" si="37"/>
        <v>0</v>
      </c>
      <c r="M419" s="291">
        <f t="shared" si="38"/>
        <v>0</v>
      </c>
      <c r="N419" s="295">
        <f t="shared" si="39"/>
        <v>1.064108801074326E-10</v>
      </c>
    </row>
    <row r="420" spans="2:14" x14ac:dyDescent="0.45">
      <c r="B420" s="294"/>
      <c r="C420" s="291"/>
      <c r="D420" s="291"/>
      <c r="E420" s="291"/>
      <c r="F420" s="291"/>
      <c r="G420" s="295"/>
      <c r="I420" s="294">
        <f t="shared" si="40"/>
        <v>57742</v>
      </c>
      <c r="J420" s="291">
        <f t="shared" si="41"/>
        <v>1.064108801074326E-10</v>
      </c>
      <c r="K420" s="291">
        <f t="shared" si="36"/>
        <v>0</v>
      </c>
      <c r="L420" s="291">
        <f t="shared" si="37"/>
        <v>0</v>
      </c>
      <c r="M420" s="291">
        <f t="shared" si="38"/>
        <v>0</v>
      </c>
      <c r="N420" s="295">
        <f t="shared" si="39"/>
        <v>1.064108801074326E-10</v>
      </c>
    </row>
    <row r="421" spans="2:14" x14ac:dyDescent="0.45">
      <c r="B421" s="294"/>
      <c r="C421" s="291"/>
      <c r="D421" s="291"/>
      <c r="E421" s="291"/>
      <c r="F421" s="291"/>
      <c r="G421" s="295"/>
      <c r="I421" s="294">
        <f t="shared" si="40"/>
        <v>57770</v>
      </c>
      <c r="J421" s="291">
        <f t="shared" si="41"/>
        <v>1.064108801074326E-10</v>
      </c>
      <c r="K421" s="291">
        <f t="shared" si="36"/>
        <v>0</v>
      </c>
      <c r="L421" s="291">
        <f t="shared" si="37"/>
        <v>0</v>
      </c>
      <c r="M421" s="291">
        <f t="shared" si="38"/>
        <v>0</v>
      </c>
      <c r="N421" s="295">
        <f t="shared" si="39"/>
        <v>1.064108801074326E-10</v>
      </c>
    </row>
    <row r="422" spans="2:14" x14ac:dyDescent="0.45">
      <c r="B422" s="294"/>
      <c r="C422" s="291"/>
      <c r="D422" s="291"/>
      <c r="E422" s="291"/>
      <c r="F422" s="291"/>
      <c r="G422" s="295"/>
      <c r="I422" s="294">
        <f t="shared" si="40"/>
        <v>57801</v>
      </c>
      <c r="J422" s="291">
        <f t="shared" si="41"/>
        <v>1.064108801074326E-10</v>
      </c>
      <c r="K422" s="291">
        <f t="shared" si="36"/>
        <v>0</v>
      </c>
      <c r="L422" s="291">
        <f t="shared" si="37"/>
        <v>0</v>
      </c>
      <c r="M422" s="291">
        <f t="shared" si="38"/>
        <v>0</v>
      </c>
      <c r="N422" s="295">
        <f t="shared" si="39"/>
        <v>1.064108801074326E-10</v>
      </c>
    </row>
    <row r="423" spans="2:14" x14ac:dyDescent="0.45">
      <c r="B423" s="294"/>
      <c r="C423" s="291"/>
      <c r="D423" s="291"/>
      <c r="E423" s="291"/>
      <c r="F423" s="291"/>
      <c r="G423" s="295"/>
      <c r="I423" s="294">
        <f t="shared" si="40"/>
        <v>57831</v>
      </c>
      <c r="J423" s="291">
        <f t="shared" si="41"/>
        <v>1.064108801074326E-10</v>
      </c>
      <c r="K423" s="291">
        <f t="shared" si="36"/>
        <v>0</v>
      </c>
      <c r="L423" s="291">
        <f t="shared" si="37"/>
        <v>0</v>
      </c>
      <c r="M423" s="291">
        <f t="shared" si="38"/>
        <v>0</v>
      </c>
      <c r="N423" s="295">
        <f t="shared" si="39"/>
        <v>1.064108801074326E-10</v>
      </c>
    </row>
    <row r="424" spans="2:14" x14ac:dyDescent="0.45">
      <c r="B424" s="294"/>
      <c r="C424" s="291"/>
      <c r="D424" s="291"/>
      <c r="E424" s="291"/>
      <c r="F424" s="291"/>
      <c r="G424" s="295"/>
      <c r="I424" s="294">
        <f t="shared" si="40"/>
        <v>57862</v>
      </c>
      <c r="J424" s="291">
        <f t="shared" si="41"/>
        <v>1.064108801074326E-10</v>
      </c>
      <c r="K424" s="291">
        <f t="shared" si="36"/>
        <v>0</v>
      </c>
      <c r="L424" s="291">
        <f t="shared" si="37"/>
        <v>0</v>
      </c>
      <c r="M424" s="291">
        <f t="shared" si="38"/>
        <v>0</v>
      </c>
      <c r="N424" s="295">
        <f t="shared" si="39"/>
        <v>1.064108801074326E-10</v>
      </c>
    </row>
    <row r="425" spans="2:14" x14ac:dyDescent="0.45">
      <c r="B425" s="294"/>
      <c r="C425" s="291"/>
      <c r="D425" s="291"/>
      <c r="E425" s="291"/>
      <c r="F425" s="291"/>
      <c r="G425" s="295"/>
      <c r="I425" s="294">
        <f t="shared" si="40"/>
        <v>57892</v>
      </c>
      <c r="J425" s="291">
        <f t="shared" si="41"/>
        <v>1.064108801074326E-10</v>
      </c>
      <c r="K425" s="291">
        <f t="shared" si="36"/>
        <v>0</v>
      </c>
      <c r="L425" s="291">
        <f t="shared" si="37"/>
        <v>0</v>
      </c>
      <c r="M425" s="291">
        <f t="shared" si="38"/>
        <v>0</v>
      </c>
      <c r="N425" s="295">
        <f t="shared" si="39"/>
        <v>1.064108801074326E-10</v>
      </c>
    </row>
    <row r="426" spans="2:14" x14ac:dyDescent="0.45">
      <c r="B426" s="294"/>
      <c r="C426" s="291"/>
      <c r="D426" s="291"/>
      <c r="E426" s="291"/>
      <c r="F426" s="291"/>
      <c r="G426" s="295"/>
      <c r="I426" s="294">
        <f t="shared" si="40"/>
        <v>57923</v>
      </c>
      <c r="J426" s="291">
        <f t="shared" si="41"/>
        <v>1.064108801074326E-10</v>
      </c>
      <c r="K426" s="291">
        <f t="shared" si="36"/>
        <v>0</v>
      </c>
      <c r="L426" s="291">
        <f t="shared" si="37"/>
        <v>0</v>
      </c>
      <c r="M426" s="291">
        <f t="shared" si="38"/>
        <v>0</v>
      </c>
      <c r="N426" s="295">
        <f t="shared" si="39"/>
        <v>1.064108801074326E-10</v>
      </c>
    </row>
    <row r="427" spans="2:14" x14ac:dyDescent="0.45">
      <c r="B427" s="294"/>
      <c r="C427" s="291"/>
      <c r="D427" s="291"/>
      <c r="E427" s="291"/>
      <c r="F427" s="291"/>
      <c r="G427" s="295"/>
      <c r="I427" s="294">
        <f t="shared" si="40"/>
        <v>57954</v>
      </c>
      <c r="J427" s="291">
        <f t="shared" si="41"/>
        <v>1.064108801074326E-10</v>
      </c>
      <c r="K427" s="291">
        <f t="shared" si="36"/>
        <v>0</v>
      </c>
      <c r="L427" s="291">
        <f t="shared" si="37"/>
        <v>0</v>
      </c>
      <c r="M427" s="291">
        <f t="shared" si="38"/>
        <v>0</v>
      </c>
      <c r="N427" s="295">
        <f t="shared" si="39"/>
        <v>1.064108801074326E-10</v>
      </c>
    </row>
    <row r="428" spans="2:14" x14ac:dyDescent="0.45">
      <c r="B428" s="294"/>
      <c r="C428" s="291"/>
      <c r="D428" s="291"/>
      <c r="E428" s="291"/>
      <c r="F428" s="291"/>
      <c r="G428" s="295"/>
      <c r="I428" s="294">
        <f t="shared" si="40"/>
        <v>57984</v>
      </c>
      <c r="J428" s="291">
        <f t="shared" si="41"/>
        <v>1.064108801074326E-10</v>
      </c>
      <c r="K428" s="291">
        <f t="shared" si="36"/>
        <v>0</v>
      </c>
      <c r="L428" s="291">
        <f t="shared" si="37"/>
        <v>0</v>
      </c>
      <c r="M428" s="291">
        <f t="shared" si="38"/>
        <v>0</v>
      </c>
      <c r="N428" s="295">
        <f t="shared" si="39"/>
        <v>1.064108801074326E-10</v>
      </c>
    </row>
    <row r="429" spans="2:14" x14ac:dyDescent="0.45">
      <c r="B429" s="294"/>
      <c r="C429" s="291"/>
      <c r="D429" s="291"/>
      <c r="E429" s="291"/>
      <c r="F429" s="291"/>
      <c r="G429" s="295"/>
      <c r="I429" s="294">
        <f t="shared" si="40"/>
        <v>58015</v>
      </c>
      <c r="J429" s="291">
        <f t="shared" si="41"/>
        <v>1.064108801074326E-10</v>
      </c>
      <c r="K429" s="291">
        <f t="shared" si="36"/>
        <v>0</v>
      </c>
      <c r="L429" s="291">
        <f t="shared" si="37"/>
        <v>0</v>
      </c>
      <c r="M429" s="291">
        <f t="shared" si="38"/>
        <v>0</v>
      </c>
      <c r="N429" s="295">
        <f t="shared" si="39"/>
        <v>1.064108801074326E-10</v>
      </c>
    </row>
    <row r="430" spans="2:14" x14ac:dyDescent="0.45">
      <c r="B430" s="294"/>
      <c r="C430" s="291"/>
      <c r="D430" s="291"/>
      <c r="E430" s="291"/>
      <c r="F430" s="291"/>
      <c r="G430" s="295"/>
      <c r="I430" s="294">
        <f t="shared" si="40"/>
        <v>58045</v>
      </c>
      <c r="J430" s="291">
        <f t="shared" si="41"/>
        <v>1.064108801074326E-10</v>
      </c>
      <c r="K430" s="291">
        <f t="shared" si="36"/>
        <v>0</v>
      </c>
      <c r="L430" s="291">
        <f t="shared" si="37"/>
        <v>0</v>
      </c>
      <c r="M430" s="291">
        <f t="shared" si="38"/>
        <v>0</v>
      </c>
      <c r="N430" s="295">
        <f t="shared" si="39"/>
        <v>1.064108801074326E-10</v>
      </c>
    </row>
    <row r="431" spans="2:14" x14ac:dyDescent="0.45">
      <c r="B431" s="294"/>
      <c r="C431" s="291"/>
      <c r="D431" s="291"/>
      <c r="E431" s="291"/>
      <c r="F431" s="291"/>
      <c r="G431" s="295"/>
      <c r="I431" s="294">
        <f t="shared" si="40"/>
        <v>58076</v>
      </c>
      <c r="J431" s="291">
        <f t="shared" si="41"/>
        <v>1.064108801074326E-10</v>
      </c>
      <c r="K431" s="291">
        <f t="shared" si="36"/>
        <v>0</v>
      </c>
      <c r="L431" s="291">
        <f t="shared" si="37"/>
        <v>0</v>
      </c>
      <c r="M431" s="291">
        <f t="shared" si="38"/>
        <v>0</v>
      </c>
      <c r="N431" s="295">
        <f t="shared" si="39"/>
        <v>1.064108801074326E-10</v>
      </c>
    </row>
    <row r="432" spans="2:14" x14ac:dyDescent="0.45">
      <c r="B432" s="294"/>
      <c r="C432" s="291"/>
      <c r="D432" s="291"/>
      <c r="E432" s="291"/>
      <c r="F432" s="291"/>
      <c r="G432" s="295"/>
      <c r="I432" s="294">
        <f t="shared" si="40"/>
        <v>58107</v>
      </c>
      <c r="J432" s="291">
        <f t="shared" si="41"/>
        <v>1.064108801074326E-10</v>
      </c>
      <c r="K432" s="291">
        <f t="shared" si="36"/>
        <v>0</v>
      </c>
      <c r="L432" s="291">
        <f t="shared" si="37"/>
        <v>0</v>
      </c>
      <c r="M432" s="291">
        <f t="shared" si="38"/>
        <v>0</v>
      </c>
      <c r="N432" s="295">
        <f t="shared" si="39"/>
        <v>1.064108801074326E-10</v>
      </c>
    </row>
    <row r="433" spans="2:14" x14ac:dyDescent="0.45">
      <c r="B433" s="294"/>
      <c r="C433" s="291"/>
      <c r="D433" s="291"/>
      <c r="E433" s="291"/>
      <c r="F433" s="291"/>
      <c r="G433" s="295"/>
      <c r="I433" s="294">
        <f t="shared" si="40"/>
        <v>58135</v>
      </c>
      <c r="J433" s="291">
        <f t="shared" si="41"/>
        <v>1.064108801074326E-10</v>
      </c>
      <c r="K433" s="291">
        <f t="shared" si="36"/>
        <v>0</v>
      </c>
      <c r="L433" s="291">
        <f t="shared" si="37"/>
        <v>0</v>
      </c>
      <c r="M433" s="291">
        <f t="shared" si="38"/>
        <v>0</v>
      </c>
      <c r="N433" s="295">
        <f t="shared" si="39"/>
        <v>1.064108801074326E-10</v>
      </c>
    </row>
    <row r="434" spans="2:14" x14ac:dyDescent="0.45">
      <c r="B434" s="294"/>
      <c r="C434" s="291"/>
      <c r="D434" s="291"/>
      <c r="E434" s="291"/>
      <c r="F434" s="291"/>
      <c r="G434" s="295"/>
      <c r="I434" s="294">
        <f t="shared" si="40"/>
        <v>58166</v>
      </c>
      <c r="J434" s="291">
        <f t="shared" si="41"/>
        <v>1.064108801074326E-10</v>
      </c>
      <c r="K434" s="291">
        <f t="shared" si="36"/>
        <v>0</v>
      </c>
      <c r="L434" s="291">
        <f t="shared" si="37"/>
        <v>0</v>
      </c>
      <c r="M434" s="291">
        <f t="shared" si="38"/>
        <v>0</v>
      </c>
      <c r="N434" s="295">
        <f t="shared" si="39"/>
        <v>1.064108801074326E-10</v>
      </c>
    </row>
    <row r="435" spans="2:14" x14ac:dyDescent="0.45">
      <c r="B435" s="294"/>
      <c r="C435" s="291"/>
      <c r="D435" s="291"/>
      <c r="E435" s="291"/>
      <c r="F435" s="291"/>
      <c r="G435" s="295"/>
      <c r="I435" s="294">
        <f t="shared" si="40"/>
        <v>58196</v>
      </c>
      <c r="J435" s="291">
        <f t="shared" si="41"/>
        <v>1.064108801074326E-10</v>
      </c>
      <c r="K435" s="291">
        <f t="shared" si="36"/>
        <v>0</v>
      </c>
      <c r="L435" s="291">
        <f t="shared" si="37"/>
        <v>0</v>
      </c>
      <c r="M435" s="291">
        <f t="shared" si="38"/>
        <v>0</v>
      </c>
      <c r="N435" s="295">
        <f t="shared" si="39"/>
        <v>1.064108801074326E-10</v>
      </c>
    </row>
    <row r="436" spans="2:14" x14ac:dyDescent="0.45">
      <c r="B436" s="294"/>
      <c r="C436" s="291"/>
      <c r="D436" s="291"/>
      <c r="E436" s="291"/>
      <c r="F436" s="291"/>
      <c r="G436" s="295"/>
      <c r="I436" s="294">
        <f t="shared" si="40"/>
        <v>58227</v>
      </c>
      <c r="J436" s="291">
        <f t="shared" si="41"/>
        <v>1.064108801074326E-10</v>
      </c>
      <c r="K436" s="291">
        <f t="shared" si="36"/>
        <v>0</v>
      </c>
      <c r="L436" s="291">
        <f t="shared" si="37"/>
        <v>0</v>
      </c>
      <c r="M436" s="291">
        <f t="shared" si="38"/>
        <v>0</v>
      </c>
      <c r="N436" s="295">
        <f t="shared" si="39"/>
        <v>1.064108801074326E-10</v>
      </c>
    </row>
    <row r="437" spans="2:14" x14ac:dyDescent="0.45">
      <c r="B437" s="294"/>
      <c r="C437" s="291"/>
      <c r="D437" s="291"/>
      <c r="E437" s="291"/>
      <c r="F437" s="291"/>
      <c r="G437" s="295"/>
      <c r="I437" s="294">
        <f t="shared" si="40"/>
        <v>58257</v>
      </c>
      <c r="J437" s="291">
        <f t="shared" si="41"/>
        <v>1.064108801074326E-10</v>
      </c>
      <c r="K437" s="291">
        <f t="shared" si="36"/>
        <v>0</v>
      </c>
      <c r="L437" s="291">
        <f t="shared" si="37"/>
        <v>0</v>
      </c>
      <c r="M437" s="291">
        <f t="shared" si="38"/>
        <v>0</v>
      </c>
      <c r="N437" s="295">
        <f t="shared" si="39"/>
        <v>1.064108801074326E-10</v>
      </c>
    </row>
    <row r="438" spans="2:14" x14ac:dyDescent="0.45">
      <c r="B438" s="294"/>
      <c r="C438" s="291"/>
      <c r="D438" s="291"/>
      <c r="E438" s="291"/>
      <c r="F438" s="291"/>
      <c r="G438" s="295"/>
      <c r="I438" s="294">
        <f t="shared" si="40"/>
        <v>58288</v>
      </c>
      <c r="J438" s="291">
        <f t="shared" si="41"/>
        <v>1.064108801074326E-10</v>
      </c>
      <c r="K438" s="291">
        <f t="shared" si="36"/>
        <v>0</v>
      </c>
      <c r="L438" s="291">
        <f t="shared" si="37"/>
        <v>0</v>
      </c>
      <c r="M438" s="291">
        <f t="shared" si="38"/>
        <v>0</v>
      </c>
      <c r="N438" s="295">
        <f t="shared" si="39"/>
        <v>1.064108801074326E-10</v>
      </c>
    </row>
    <row r="439" spans="2:14" x14ac:dyDescent="0.45">
      <c r="B439" s="294"/>
      <c r="C439" s="291"/>
      <c r="D439" s="291"/>
      <c r="E439" s="291"/>
      <c r="F439" s="291"/>
      <c r="G439" s="295"/>
      <c r="I439" s="294">
        <f t="shared" si="40"/>
        <v>58319</v>
      </c>
      <c r="J439" s="291">
        <f t="shared" si="41"/>
        <v>1.064108801074326E-10</v>
      </c>
      <c r="K439" s="291">
        <f t="shared" si="36"/>
        <v>0</v>
      </c>
      <c r="L439" s="291">
        <f t="shared" si="37"/>
        <v>0</v>
      </c>
      <c r="M439" s="291">
        <f t="shared" si="38"/>
        <v>0</v>
      </c>
      <c r="N439" s="295">
        <f t="shared" si="39"/>
        <v>1.064108801074326E-10</v>
      </c>
    </row>
    <row r="440" spans="2:14" x14ac:dyDescent="0.45">
      <c r="B440" s="294"/>
      <c r="C440" s="291"/>
      <c r="D440" s="291"/>
      <c r="E440" s="291"/>
      <c r="F440" s="291"/>
      <c r="G440" s="295"/>
      <c r="I440" s="294">
        <f t="shared" si="40"/>
        <v>58349</v>
      </c>
      <c r="J440" s="291">
        <f t="shared" si="41"/>
        <v>1.064108801074326E-10</v>
      </c>
      <c r="K440" s="291">
        <f t="shared" si="36"/>
        <v>0</v>
      </c>
      <c r="L440" s="291">
        <f t="shared" si="37"/>
        <v>0</v>
      </c>
      <c r="M440" s="291">
        <f t="shared" si="38"/>
        <v>0</v>
      </c>
      <c r="N440" s="295">
        <f t="shared" si="39"/>
        <v>1.064108801074326E-10</v>
      </c>
    </row>
    <row r="441" spans="2:14" x14ac:dyDescent="0.45">
      <c r="B441" s="294"/>
      <c r="C441" s="291"/>
      <c r="D441" s="291"/>
      <c r="E441" s="291"/>
      <c r="F441" s="291"/>
      <c r="G441" s="295"/>
      <c r="I441" s="294">
        <f t="shared" si="40"/>
        <v>58380</v>
      </c>
      <c r="J441" s="291">
        <f t="shared" si="41"/>
        <v>1.064108801074326E-10</v>
      </c>
      <c r="K441" s="291">
        <f t="shared" si="36"/>
        <v>0</v>
      </c>
      <c r="L441" s="291">
        <f t="shared" si="37"/>
        <v>0</v>
      </c>
      <c r="M441" s="291">
        <f t="shared" si="38"/>
        <v>0</v>
      </c>
      <c r="N441" s="295">
        <f t="shared" si="39"/>
        <v>1.064108801074326E-10</v>
      </c>
    </row>
    <row r="442" spans="2:14" x14ac:dyDescent="0.45">
      <c r="B442" s="294"/>
      <c r="C442" s="291"/>
      <c r="D442" s="291"/>
      <c r="E442" s="291"/>
      <c r="F442" s="291"/>
      <c r="G442" s="295"/>
      <c r="I442" s="294">
        <f t="shared" si="40"/>
        <v>58410</v>
      </c>
      <c r="J442" s="291">
        <f t="shared" si="41"/>
        <v>1.064108801074326E-10</v>
      </c>
      <c r="K442" s="291">
        <f t="shared" si="36"/>
        <v>0</v>
      </c>
      <c r="L442" s="291">
        <f t="shared" si="37"/>
        <v>0</v>
      </c>
      <c r="M442" s="291">
        <f t="shared" si="38"/>
        <v>0</v>
      </c>
      <c r="N442" s="295">
        <f t="shared" si="39"/>
        <v>1.064108801074326E-10</v>
      </c>
    </row>
    <row r="443" spans="2:14" x14ac:dyDescent="0.45">
      <c r="B443" s="294"/>
      <c r="C443" s="291"/>
      <c r="D443" s="291"/>
      <c r="E443" s="291"/>
      <c r="F443" s="291"/>
      <c r="G443" s="295"/>
      <c r="I443" s="294">
        <f t="shared" si="40"/>
        <v>58441</v>
      </c>
      <c r="J443" s="291">
        <f t="shared" si="41"/>
        <v>1.064108801074326E-10</v>
      </c>
      <c r="K443" s="291">
        <f t="shared" si="36"/>
        <v>0</v>
      </c>
      <c r="L443" s="291">
        <f t="shared" si="37"/>
        <v>0</v>
      </c>
      <c r="M443" s="291">
        <f t="shared" si="38"/>
        <v>0</v>
      </c>
      <c r="N443" s="295">
        <f t="shared" si="39"/>
        <v>1.064108801074326E-10</v>
      </c>
    </row>
    <row r="444" spans="2:14" x14ac:dyDescent="0.45">
      <c r="B444" s="294"/>
      <c r="C444" s="291"/>
      <c r="D444" s="291"/>
      <c r="E444" s="291"/>
      <c r="F444" s="291"/>
      <c r="G444" s="295"/>
      <c r="I444" s="294">
        <f t="shared" si="40"/>
        <v>58472</v>
      </c>
      <c r="J444" s="291">
        <f t="shared" si="41"/>
        <v>1.064108801074326E-10</v>
      </c>
      <c r="K444" s="291">
        <f t="shared" si="36"/>
        <v>0</v>
      </c>
      <c r="L444" s="291">
        <f t="shared" si="37"/>
        <v>0</v>
      </c>
      <c r="M444" s="291">
        <f t="shared" si="38"/>
        <v>0</v>
      </c>
      <c r="N444" s="295">
        <f t="shared" si="39"/>
        <v>1.064108801074326E-10</v>
      </c>
    </row>
    <row r="445" spans="2:14" x14ac:dyDescent="0.45">
      <c r="B445" s="294"/>
      <c r="C445" s="291"/>
      <c r="D445" s="291"/>
      <c r="E445" s="291"/>
      <c r="F445" s="291"/>
      <c r="G445" s="295"/>
      <c r="I445" s="294">
        <f t="shared" si="40"/>
        <v>58501</v>
      </c>
      <c r="J445" s="291">
        <f t="shared" si="41"/>
        <v>1.064108801074326E-10</v>
      </c>
      <c r="K445" s="291">
        <f t="shared" si="36"/>
        <v>0</v>
      </c>
      <c r="L445" s="291">
        <f t="shared" si="37"/>
        <v>0</v>
      </c>
      <c r="M445" s="291">
        <f t="shared" si="38"/>
        <v>0</v>
      </c>
      <c r="N445" s="295">
        <f t="shared" si="39"/>
        <v>1.064108801074326E-10</v>
      </c>
    </row>
    <row r="446" spans="2:14" x14ac:dyDescent="0.45">
      <c r="B446" s="294"/>
      <c r="C446" s="291"/>
      <c r="D446" s="291"/>
      <c r="E446" s="291"/>
      <c r="F446" s="291"/>
      <c r="G446" s="295"/>
      <c r="I446" s="294">
        <f t="shared" si="40"/>
        <v>58532</v>
      </c>
      <c r="J446" s="291">
        <f t="shared" si="41"/>
        <v>1.064108801074326E-10</v>
      </c>
      <c r="K446" s="291">
        <f t="shared" si="36"/>
        <v>0</v>
      </c>
      <c r="L446" s="291">
        <f t="shared" si="37"/>
        <v>0</v>
      </c>
      <c r="M446" s="291">
        <f t="shared" si="38"/>
        <v>0</v>
      </c>
      <c r="N446" s="295">
        <f t="shared" si="39"/>
        <v>1.064108801074326E-10</v>
      </c>
    </row>
    <row r="447" spans="2:14" x14ac:dyDescent="0.45">
      <c r="B447" s="294"/>
      <c r="C447" s="291"/>
      <c r="D447" s="291"/>
      <c r="E447" s="291"/>
      <c r="F447" s="291"/>
      <c r="G447" s="295"/>
      <c r="I447" s="294">
        <f t="shared" si="40"/>
        <v>58562</v>
      </c>
      <c r="J447" s="291">
        <f t="shared" si="41"/>
        <v>1.064108801074326E-10</v>
      </c>
      <c r="K447" s="291">
        <f t="shared" si="36"/>
        <v>0</v>
      </c>
      <c r="L447" s="291">
        <f t="shared" si="37"/>
        <v>0</v>
      </c>
      <c r="M447" s="291">
        <f t="shared" si="38"/>
        <v>0</v>
      </c>
      <c r="N447" s="295">
        <f t="shared" si="39"/>
        <v>1.064108801074326E-10</v>
      </c>
    </row>
    <row r="448" spans="2:14" x14ac:dyDescent="0.45">
      <c r="B448" s="294"/>
      <c r="C448" s="291"/>
      <c r="D448" s="291"/>
      <c r="E448" s="291"/>
      <c r="F448" s="291"/>
      <c r="G448" s="295"/>
      <c r="I448" s="294">
        <f t="shared" si="40"/>
        <v>58593</v>
      </c>
      <c r="J448" s="291">
        <f t="shared" si="41"/>
        <v>1.064108801074326E-10</v>
      </c>
      <c r="K448" s="291">
        <f t="shared" si="36"/>
        <v>0</v>
      </c>
      <c r="L448" s="291">
        <f t="shared" si="37"/>
        <v>0</v>
      </c>
      <c r="M448" s="291">
        <f t="shared" si="38"/>
        <v>0</v>
      </c>
      <c r="N448" s="295">
        <f t="shared" si="39"/>
        <v>1.064108801074326E-10</v>
      </c>
    </row>
    <row r="449" spans="2:14" x14ac:dyDescent="0.45">
      <c r="B449" s="294"/>
      <c r="C449" s="291"/>
      <c r="D449" s="291"/>
      <c r="E449" s="291"/>
      <c r="F449" s="291"/>
      <c r="G449" s="295"/>
      <c r="I449" s="294">
        <f t="shared" si="40"/>
        <v>58623</v>
      </c>
      <c r="J449" s="291">
        <f t="shared" si="41"/>
        <v>1.064108801074326E-10</v>
      </c>
      <c r="K449" s="291">
        <f t="shared" si="36"/>
        <v>0</v>
      </c>
      <c r="L449" s="291">
        <f t="shared" si="37"/>
        <v>0</v>
      </c>
      <c r="M449" s="291">
        <f t="shared" si="38"/>
        <v>0</v>
      </c>
      <c r="N449" s="295">
        <f t="shared" si="39"/>
        <v>1.064108801074326E-10</v>
      </c>
    </row>
    <row r="450" spans="2:14" x14ac:dyDescent="0.45">
      <c r="B450" s="294"/>
      <c r="C450" s="291"/>
      <c r="D450" s="291"/>
      <c r="E450" s="291"/>
      <c r="F450" s="291"/>
      <c r="G450" s="295"/>
      <c r="I450" s="294">
        <f t="shared" si="40"/>
        <v>58654</v>
      </c>
      <c r="J450" s="291">
        <f t="shared" si="41"/>
        <v>1.064108801074326E-10</v>
      </c>
      <c r="K450" s="291">
        <f t="shared" si="36"/>
        <v>0</v>
      </c>
      <c r="L450" s="291">
        <f t="shared" si="37"/>
        <v>0</v>
      </c>
      <c r="M450" s="291">
        <f t="shared" si="38"/>
        <v>0</v>
      </c>
      <c r="N450" s="295">
        <f t="shared" si="39"/>
        <v>1.064108801074326E-10</v>
      </c>
    </row>
    <row r="451" spans="2:14" x14ac:dyDescent="0.45">
      <c r="B451" s="294"/>
      <c r="C451" s="291"/>
      <c r="D451" s="291"/>
      <c r="E451" s="291"/>
      <c r="F451" s="291"/>
      <c r="G451" s="295"/>
      <c r="I451" s="294">
        <f t="shared" si="40"/>
        <v>58685</v>
      </c>
      <c r="J451" s="291">
        <f t="shared" si="41"/>
        <v>1.064108801074326E-10</v>
      </c>
      <c r="K451" s="291">
        <f t="shared" si="36"/>
        <v>0</v>
      </c>
      <c r="L451" s="291">
        <f t="shared" si="37"/>
        <v>0</v>
      </c>
      <c r="M451" s="291">
        <f t="shared" si="38"/>
        <v>0</v>
      </c>
      <c r="N451" s="295">
        <f t="shared" si="39"/>
        <v>1.064108801074326E-10</v>
      </c>
    </row>
    <row r="452" spans="2:14" x14ac:dyDescent="0.45">
      <c r="B452" s="294"/>
      <c r="C452" s="291"/>
      <c r="D452" s="291"/>
      <c r="E452" s="291"/>
      <c r="F452" s="291"/>
      <c r="G452" s="295"/>
      <c r="I452" s="294">
        <f t="shared" si="40"/>
        <v>58715</v>
      </c>
      <c r="J452" s="291">
        <f t="shared" si="41"/>
        <v>1.064108801074326E-10</v>
      </c>
      <c r="K452" s="291">
        <f t="shared" si="36"/>
        <v>0</v>
      </c>
      <c r="L452" s="291">
        <f t="shared" si="37"/>
        <v>0</v>
      </c>
      <c r="M452" s="291">
        <f t="shared" si="38"/>
        <v>0</v>
      </c>
      <c r="N452" s="295">
        <f t="shared" si="39"/>
        <v>1.064108801074326E-10</v>
      </c>
    </row>
    <row r="453" spans="2:14" x14ac:dyDescent="0.45">
      <c r="B453" s="294"/>
      <c r="C453" s="291"/>
      <c r="D453" s="291"/>
      <c r="E453" s="291"/>
      <c r="F453" s="291"/>
      <c r="G453" s="295"/>
      <c r="I453" s="294">
        <f t="shared" si="40"/>
        <v>58746</v>
      </c>
      <c r="J453" s="291">
        <f t="shared" si="41"/>
        <v>1.064108801074326E-10</v>
      </c>
      <c r="K453" s="291">
        <f t="shared" si="36"/>
        <v>0</v>
      </c>
      <c r="L453" s="291">
        <f t="shared" si="37"/>
        <v>0</v>
      </c>
      <c r="M453" s="291">
        <f t="shared" si="38"/>
        <v>0</v>
      </c>
      <c r="N453" s="295">
        <f t="shared" si="39"/>
        <v>1.064108801074326E-10</v>
      </c>
    </row>
    <row r="454" spans="2:14" x14ac:dyDescent="0.45">
      <c r="B454" s="294"/>
      <c r="C454" s="291"/>
      <c r="D454" s="291"/>
      <c r="E454" s="291"/>
      <c r="F454" s="291"/>
      <c r="G454" s="295"/>
      <c r="I454" s="294">
        <f t="shared" si="40"/>
        <v>58776</v>
      </c>
      <c r="J454" s="291">
        <f t="shared" si="41"/>
        <v>1.064108801074326E-10</v>
      </c>
      <c r="K454" s="291">
        <f t="shared" si="36"/>
        <v>0</v>
      </c>
      <c r="L454" s="291">
        <f t="shared" si="37"/>
        <v>0</v>
      </c>
      <c r="M454" s="291">
        <f t="shared" si="38"/>
        <v>0</v>
      </c>
      <c r="N454" s="295">
        <f t="shared" si="39"/>
        <v>1.064108801074326E-10</v>
      </c>
    </row>
    <row r="455" spans="2:14" x14ac:dyDescent="0.45">
      <c r="B455" s="294"/>
      <c r="C455" s="291"/>
      <c r="D455" s="291"/>
      <c r="E455" s="291"/>
      <c r="F455" s="291"/>
      <c r="G455" s="295"/>
      <c r="I455" s="294">
        <f t="shared" si="40"/>
        <v>58807</v>
      </c>
      <c r="J455" s="291">
        <f t="shared" si="41"/>
        <v>1.064108801074326E-10</v>
      </c>
      <c r="K455" s="291">
        <f t="shared" si="36"/>
        <v>0</v>
      </c>
      <c r="L455" s="291">
        <f t="shared" si="37"/>
        <v>0</v>
      </c>
      <c r="M455" s="291">
        <f t="shared" si="38"/>
        <v>0</v>
      </c>
      <c r="N455" s="295">
        <f t="shared" si="39"/>
        <v>1.064108801074326E-10</v>
      </c>
    </row>
    <row r="456" spans="2:14" x14ac:dyDescent="0.45">
      <c r="B456" s="294"/>
      <c r="C456" s="291"/>
      <c r="D456" s="291"/>
      <c r="E456" s="291"/>
      <c r="F456" s="291"/>
      <c r="G456" s="295"/>
      <c r="I456" s="294">
        <f t="shared" si="40"/>
        <v>58838</v>
      </c>
      <c r="J456" s="291">
        <f t="shared" si="41"/>
        <v>1.064108801074326E-10</v>
      </c>
      <c r="K456" s="291">
        <f t="shared" si="36"/>
        <v>0</v>
      </c>
      <c r="L456" s="291">
        <f t="shared" si="37"/>
        <v>0</v>
      </c>
      <c r="M456" s="291">
        <f t="shared" si="38"/>
        <v>0</v>
      </c>
      <c r="N456" s="295">
        <f t="shared" si="39"/>
        <v>1.064108801074326E-10</v>
      </c>
    </row>
    <row r="457" spans="2:14" x14ac:dyDescent="0.45">
      <c r="B457" s="294"/>
      <c r="C457" s="291"/>
      <c r="D457" s="291"/>
      <c r="E457" s="291"/>
      <c r="F457" s="291"/>
      <c r="G457" s="295"/>
      <c r="I457" s="294">
        <f t="shared" si="40"/>
        <v>58866</v>
      </c>
      <c r="J457" s="291">
        <f t="shared" si="41"/>
        <v>1.064108801074326E-10</v>
      </c>
      <c r="K457" s="291">
        <f t="shared" si="36"/>
        <v>0</v>
      </c>
      <c r="L457" s="291">
        <f t="shared" si="37"/>
        <v>0</v>
      </c>
      <c r="M457" s="291">
        <f t="shared" si="38"/>
        <v>0</v>
      </c>
      <c r="N457" s="295">
        <f t="shared" si="39"/>
        <v>1.064108801074326E-10</v>
      </c>
    </row>
    <row r="458" spans="2:14" x14ac:dyDescent="0.45">
      <c r="B458" s="294"/>
      <c r="C458" s="291"/>
      <c r="D458" s="291"/>
      <c r="E458" s="291"/>
      <c r="F458" s="291"/>
      <c r="G458" s="295"/>
      <c r="I458" s="294">
        <f t="shared" si="40"/>
        <v>58897</v>
      </c>
      <c r="J458" s="291">
        <f t="shared" si="41"/>
        <v>1.064108801074326E-10</v>
      </c>
      <c r="K458" s="291">
        <f t="shared" si="36"/>
        <v>0</v>
      </c>
      <c r="L458" s="291">
        <f t="shared" si="37"/>
        <v>0</v>
      </c>
      <c r="M458" s="291">
        <f t="shared" si="38"/>
        <v>0</v>
      </c>
      <c r="N458" s="295">
        <f t="shared" si="39"/>
        <v>1.064108801074326E-10</v>
      </c>
    </row>
    <row r="459" spans="2:14" x14ac:dyDescent="0.45">
      <c r="B459" s="294"/>
      <c r="C459" s="291"/>
      <c r="D459" s="291"/>
      <c r="E459" s="291"/>
      <c r="F459" s="291"/>
      <c r="G459" s="295"/>
      <c r="I459" s="294">
        <f t="shared" si="40"/>
        <v>58927</v>
      </c>
      <c r="J459" s="291">
        <f t="shared" si="41"/>
        <v>1.064108801074326E-10</v>
      </c>
      <c r="K459" s="291">
        <f t="shared" si="36"/>
        <v>0</v>
      </c>
      <c r="L459" s="291">
        <f t="shared" si="37"/>
        <v>0</v>
      </c>
      <c r="M459" s="291">
        <f t="shared" si="38"/>
        <v>0</v>
      </c>
      <c r="N459" s="295">
        <f t="shared" si="39"/>
        <v>1.064108801074326E-10</v>
      </c>
    </row>
    <row r="460" spans="2:14" x14ac:dyDescent="0.45">
      <c r="B460" s="294"/>
      <c r="C460" s="291"/>
      <c r="D460" s="291"/>
      <c r="E460" s="291"/>
      <c r="F460" s="291"/>
      <c r="G460" s="295"/>
      <c r="I460" s="294">
        <f t="shared" si="40"/>
        <v>58958</v>
      </c>
      <c r="J460" s="291">
        <f t="shared" si="41"/>
        <v>1.064108801074326E-10</v>
      </c>
      <c r="K460" s="291">
        <f t="shared" ref="K460:K489" si="42">IF(ROUNDDOWN(J460,0)=0,0,PMT($L$4/12,$L$7,-$L$8)+$L$5)</f>
        <v>0</v>
      </c>
      <c r="L460" s="291">
        <f t="shared" ref="L460:L489" si="43">IF(ROUNDDOWN(J460,0)=0,0,(J460*$L$4/12)+$L$5)</f>
        <v>0</v>
      </c>
      <c r="M460" s="291">
        <f t="shared" ref="M460:M489" si="44">K460-L460</f>
        <v>0</v>
      </c>
      <c r="N460" s="295">
        <f t="shared" ref="N460:N489" si="45">J460-M460</f>
        <v>1.064108801074326E-10</v>
      </c>
    </row>
    <row r="461" spans="2:14" x14ac:dyDescent="0.45">
      <c r="B461" s="294"/>
      <c r="C461" s="291"/>
      <c r="D461" s="291"/>
      <c r="E461" s="291"/>
      <c r="F461" s="291"/>
      <c r="G461" s="295"/>
      <c r="I461" s="294">
        <f t="shared" ref="I461:I489" si="46">EDATE(I460,1)</f>
        <v>58988</v>
      </c>
      <c r="J461" s="291">
        <f t="shared" ref="J461:J489" si="47">N460</f>
        <v>1.064108801074326E-10</v>
      </c>
      <c r="K461" s="291">
        <f t="shared" si="42"/>
        <v>0</v>
      </c>
      <c r="L461" s="291">
        <f t="shared" si="43"/>
        <v>0</v>
      </c>
      <c r="M461" s="291">
        <f t="shared" si="44"/>
        <v>0</v>
      </c>
      <c r="N461" s="295">
        <f t="shared" si="45"/>
        <v>1.064108801074326E-10</v>
      </c>
    </row>
    <row r="462" spans="2:14" x14ac:dyDescent="0.45">
      <c r="B462" s="294"/>
      <c r="C462" s="291"/>
      <c r="D462" s="291"/>
      <c r="E462" s="291"/>
      <c r="F462" s="291"/>
      <c r="G462" s="295"/>
      <c r="I462" s="294">
        <f t="shared" si="46"/>
        <v>59019</v>
      </c>
      <c r="J462" s="291">
        <f t="shared" si="47"/>
        <v>1.064108801074326E-10</v>
      </c>
      <c r="K462" s="291">
        <f t="shared" si="42"/>
        <v>0</v>
      </c>
      <c r="L462" s="291">
        <f t="shared" si="43"/>
        <v>0</v>
      </c>
      <c r="M462" s="291">
        <f t="shared" si="44"/>
        <v>0</v>
      </c>
      <c r="N462" s="295">
        <f t="shared" si="45"/>
        <v>1.064108801074326E-10</v>
      </c>
    </row>
    <row r="463" spans="2:14" x14ac:dyDescent="0.45">
      <c r="B463" s="294"/>
      <c r="C463" s="291"/>
      <c r="D463" s="291"/>
      <c r="E463" s="291"/>
      <c r="F463" s="291"/>
      <c r="G463" s="295"/>
      <c r="I463" s="294">
        <f t="shared" si="46"/>
        <v>59050</v>
      </c>
      <c r="J463" s="291">
        <f t="shared" si="47"/>
        <v>1.064108801074326E-10</v>
      </c>
      <c r="K463" s="291">
        <f t="shared" si="42"/>
        <v>0</v>
      </c>
      <c r="L463" s="291">
        <f t="shared" si="43"/>
        <v>0</v>
      </c>
      <c r="M463" s="291">
        <f t="shared" si="44"/>
        <v>0</v>
      </c>
      <c r="N463" s="295">
        <f t="shared" si="45"/>
        <v>1.064108801074326E-10</v>
      </c>
    </row>
    <row r="464" spans="2:14" x14ac:dyDescent="0.45">
      <c r="B464" s="294"/>
      <c r="C464" s="291"/>
      <c r="D464" s="291"/>
      <c r="E464" s="291"/>
      <c r="F464" s="291"/>
      <c r="G464" s="295"/>
      <c r="I464" s="294">
        <f t="shared" si="46"/>
        <v>59080</v>
      </c>
      <c r="J464" s="291">
        <f t="shared" si="47"/>
        <v>1.064108801074326E-10</v>
      </c>
      <c r="K464" s="291">
        <f t="shared" si="42"/>
        <v>0</v>
      </c>
      <c r="L464" s="291">
        <f t="shared" si="43"/>
        <v>0</v>
      </c>
      <c r="M464" s="291">
        <f t="shared" si="44"/>
        <v>0</v>
      </c>
      <c r="N464" s="295">
        <f t="shared" si="45"/>
        <v>1.064108801074326E-10</v>
      </c>
    </row>
    <row r="465" spans="2:14" x14ac:dyDescent="0.45">
      <c r="B465" s="294"/>
      <c r="C465" s="291"/>
      <c r="D465" s="291"/>
      <c r="E465" s="291"/>
      <c r="F465" s="291"/>
      <c r="G465" s="295"/>
      <c r="I465" s="294">
        <f t="shared" si="46"/>
        <v>59111</v>
      </c>
      <c r="J465" s="291">
        <f t="shared" si="47"/>
        <v>1.064108801074326E-10</v>
      </c>
      <c r="K465" s="291">
        <f t="shared" si="42"/>
        <v>0</v>
      </c>
      <c r="L465" s="291">
        <f t="shared" si="43"/>
        <v>0</v>
      </c>
      <c r="M465" s="291">
        <f t="shared" si="44"/>
        <v>0</v>
      </c>
      <c r="N465" s="295">
        <f t="shared" si="45"/>
        <v>1.064108801074326E-10</v>
      </c>
    </row>
    <row r="466" spans="2:14" x14ac:dyDescent="0.45">
      <c r="B466" s="294"/>
      <c r="C466" s="291"/>
      <c r="D466" s="291"/>
      <c r="E466" s="291"/>
      <c r="F466" s="291"/>
      <c r="G466" s="295"/>
      <c r="I466" s="294">
        <f t="shared" si="46"/>
        <v>59141</v>
      </c>
      <c r="J466" s="291">
        <f t="shared" si="47"/>
        <v>1.064108801074326E-10</v>
      </c>
      <c r="K466" s="291">
        <f t="shared" si="42"/>
        <v>0</v>
      </c>
      <c r="L466" s="291">
        <f t="shared" si="43"/>
        <v>0</v>
      </c>
      <c r="M466" s="291">
        <f t="shared" si="44"/>
        <v>0</v>
      </c>
      <c r="N466" s="295">
        <f t="shared" si="45"/>
        <v>1.064108801074326E-10</v>
      </c>
    </row>
    <row r="467" spans="2:14" x14ac:dyDescent="0.45">
      <c r="B467" s="294"/>
      <c r="C467" s="291"/>
      <c r="D467" s="291"/>
      <c r="E467" s="291"/>
      <c r="F467" s="291"/>
      <c r="G467" s="295"/>
      <c r="I467" s="294">
        <f t="shared" si="46"/>
        <v>59172</v>
      </c>
      <c r="J467" s="291">
        <f t="shared" si="47"/>
        <v>1.064108801074326E-10</v>
      </c>
      <c r="K467" s="291">
        <f t="shared" si="42"/>
        <v>0</v>
      </c>
      <c r="L467" s="291">
        <f t="shared" si="43"/>
        <v>0</v>
      </c>
      <c r="M467" s="291">
        <f t="shared" si="44"/>
        <v>0</v>
      </c>
      <c r="N467" s="295">
        <f t="shared" si="45"/>
        <v>1.064108801074326E-10</v>
      </c>
    </row>
    <row r="468" spans="2:14" x14ac:dyDescent="0.45">
      <c r="B468" s="294"/>
      <c r="C468" s="291"/>
      <c r="D468" s="291"/>
      <c r="E468" s="291"/>
      <c r="F468" s="291"/>
      <c r="G468" s="295"/>
      <c r="I468" s="294">
        <f t="shared" si="46"/>
        <v>59203</v>
      </c>
      <c r="J468" s="291">
        <f t="shared" si="47"/>
        <v>1.064108801074326E-10</v>
      </c>
      <c r="K468" s="291">
        <f t="shared" si="42"/>
        <v>0</v>
      </c>
      <c r="L468" s="291">
        <f t="shared" si="43"/>
        <v>0</v>
      </c>
      <c r="M468" s="291">
        <f t="shared" si="44"/>
        <v>0</v>
      </c>
      <c r="N468" s="295">
        <f t="shared" si="45"/>
        <v>1.064108801074326E-10</v>
      </c>
    </row>
    <row r="469" spans="2:14" x14ac:dyDescent="0.45">
      <c r="B469" s="294"/>
      <c r="C469" s="291"/>
      <c r="D469" s="291"/>
      <c r="E469" s="291"/>
      <c r="F469" s="291"/>
      <c r="G469" s="295"/>
      <c r="I469" s="294">
        <f t="shared" si="46"/>
        <v>59231</v>
      </c>
      <c r="J469" s="291">
        <f t="shared" si="47"/>
        <v>1.064108801074326E-10</v>
      </c>
      <c r="K469" s="291">
        <f t="shared" si="42"/>
        <v>0</v>
      </c>
      <c r="L469" s="291">
        <f t="shared" si="43"/>
        <v>0</v>
      </c>
      <c r="M469" s="291">
        <f t="shared" si="44"/>
        <v>0</v>
      </c>
      <c r="N469" s="295">
        <f t="shared" si="45"/>
        <v>1.064108801074326E-10</v>
      </c>
    </row>
    <row r="470" spans="2:14" x14ac:dyDescent="0.45">
      <c r="B470" s="294"/>
      <c r="C470" s="291"/>
      <c r="D470" s="291"/>
      <c r="E470" s="291"/>
      <c r="F470" s="291"/>
      <c r="G470" s="295"/>
      <c r="I470" s="294">
        <f t="shared" si="46"/>
        <v>59262</v>
      </c>
      <c r="J470" s="291">
        <f t="shared" si="47"/>
        <v>1.064108801074326E-10</v>
      </c>
      <c r="K470" s="291">
        <f t="shared" si="42"/>
        <v>0</v>
      </c>
      <c r="L470" s="291">
        <f t="shared" si="43"/>
        <v>0</v>
      </c>
      <c r="M470" s="291">
        <f t="shared" si="44"/>
        <v>0</v>
      </c>
      <c r="N470" s="295">
        <f t="shared" si="45"/>
        <v>1.064108801074326E-10</v>
      </c>
    </row>
    <row r="471" spans="2:14" x14ac:dyDescent="0.45">
      <c r="B471" s="294"/>
      <c r="C471" s="291"/>
      <c r="D471" s="291"/>
      <c r="E471" s="291"/>
      <c r="F471" s="291"/>
      <c r="G471" s="295"/>
      <c r="I471" s="294">
        <f t="shared" si="46"/>
        <v>59292</v>
      </c>
      <c r="J471" s="291">
        <f t="shared" si="47"/>
        <v>1.064108801074326E-10</v>
      </c>
      <c r="K471" s="291">
        <f t="shared" si="42"/>
        <v>0</v>
      </c>
      <c r="L471" s="291">
        <f t="shared" si="43"/>
        <v>0</v>
      </c>
      <c r="M471" s="291">
        <f t="shared" si="44"/>
        <v>0</v>
      </c>
      <c r="N471" s="295">
        <f t="shared" si="45"/>
        <v>1.064108801074326E-10</v>
      </c>
    </row>
    <row r="472" spans="2:14" x14ac:dyDescent="0.45">
      <c r="B472" s="294"/>
      <c r="C472" s="291"/>
      <c r="D472" s="291"/>
      <c r="E472" s="291"/>
      <c r="F472" s="291"/>
      <c r="G472" s="295"/>
      <c r="I472" s="294">
        <f t="shared" si="46"/>
        <v>59323</v>
      </c>
      <c r="J472" s="291">
        <f t="shared" si="47"/>
        <v>1.064108801074326E-10</v>
      </c>
      <c r="K472" s="291">
        <f t="shared" si="42"/>
        <v>0</v>
      </c>
      <c r="L472" s="291">
        <f t="shared" si="43"/>
        <v>0</v>
      </c>
      <c r="M472" s="291">
        <f t="shared" si="44"/>
        <v>0</v>
      </c>
      <c r="N472" s="295">
        <f t="shared" si="45"/>
        <v>1.064108801074326E-10</v>
      </c>
    </row>
    <row r="473" spans="2:14" x14ac:dyDescent="0.45">
      <c r="B473" s="294"/>
      <c r="C473" s="291"/>
      <c r="D473" s="291"/>
      <c r="E473" s="291"/>
      <c r="F473" s="291"/>
      <c r="G473" s="295"/>
      <c r="I473" s="294">
        <f t="shared" si="46"/>
        <v>59353</v>
      </c>
      <c r="J473" s="291">
        <f t="shared" si="47"/>
        <v>1.064108801074326E-10</v>
      </c>
      <c r="K473" s="291">
        <f t="shared" si="42"/>
        <v>0</v>
      </c>
      <c r="L473" s="291">
        <f t="shared" si="43"/>
        <v>0</v>
      </c>
      <c r="M473" s="291">
        <f t="shared" si="44"/>
        <v>0</v>
      </c>
      <c r="N473" s="295">
        <f t="shared" si="45"/>
        <v>1.064108801074326E-10</v>
      </c>
    </row>
    <row r="474" spans="2:14" x14ac:dyDescent="0.45">
      <c r="B474" s="294"/>
      <c r="C474" s="291"/>
      <c r="D474" s="291"/>
      <c r="E474" s="291"/>
      <c r="F474" s="291"/>
      <c r="G474" s="295"/>
      <c r="I474" s="294">
        <f t="shared" si="46"/>
        <v>59384</v>
      </c>
      <c r="J474" s="291">
        <f t="shared" si="47"/>
        <v>1.064108801074326E-10</v>
      </c>
      <c r="K474" s="291">
        <f t="shared" si="42"/>
        <v>0</v>
      </c>
      <c r="L474" s="291">
        <f t="shared" si="43"/>
        <v>0</v>
      </c>
      <c r="M474" s="291">
        <f t="shared" si="44"/>
        <v>0</v>
      </c>
      <c r="N474" s="295">
        <f t="shared" si="45"/>
        <v>1.064108801074326E-10</v>
      </c>
    </row>
    <row r="475" spans="2:14" x14ac:dyDescent="0.45">
      <c r="B475" s="294"/>
      <c r="C475" s="291"/>
      <c r="D475" s="291"/>
      <c r="E475" s="291"/>
      <c r="F475" s="291"/>
      <c r="G475" s="295"/>
      <c r="I475" s="294">
        <f t="shared" si="46"/>
        <v>59415</v>
      </c>
      <c r="J475" s="291">
        <f t="shared" si="47"/>
        <v>1.064108801074326E-10</v>
      </c>
      <c r="K475" s="291">
        <f t="shared" si="42"/>
        <v>0</v>
      </c>
      <c r="L475" s="291">
        <f t="shared" si="43"/>
        <v>0</v>
      </c>
      <c r="M475" s="291">
        <f t="shared" si="44"/>
        <v>0</v>
      </c>
      <c r="N475" s="295">
        <f t="shared" si="45"/>
        <v>1.064108801074326E-10</v>
      </c>
    </row>
    <row r="476" spans="2:14" x14ac:dyDescent="0.45">
      <c r="B476" s="294"/>
      <c r="C476" s="291"/>
      <c r="D476" s="291"/>
      <c r="E476" s="291"/>
      <c r="F476" s="291"/>
      <c r="G476" s="295"/>
      <c r="I476" s="294">
        <f t="shared" si="46"/>
        <v>59445</v>
      </c>
      <c r="J476" s="291">
        <f t="shared" si="47"/>
        <v>1.064108801074326E-10</v>
      </c>
      <c r="K476" s="291">
        <f t="shared" si="42"/>
        <v>0</v>
      </c>
      <c r="L476" s="291">
        <f t="shared" si="43"/>
        <v>0</v>
      </c>
      <c r="M476" s="291">
        <f t="shared" si="44"/>
        <v>0</v>
      </c>
      <c r="N476" s="295">
        <f t="shared" si="45"/>
        <v>1.064108801074326E-10</v>
      </c>
    </row>
    <row r="477" spans="2:14" x14ac:dyDescent="0.45">
      <c r="B477" s="294"/>
      <c r="C477" s="291"/>
      <c r="D477" s="291"/>
      <c r="E477" s="291"/>
      <c r="F477" s="291"/>
      <c r="G477" s="295"/>
      <c r="I477" s="294">
        <f t="shared" si="46"/>
        <v>59476</v>
      </c>
      <c r="J477" s="291">
        <f t="shared" si="47"/>
        <v>1.064108801074326E-10</v>
      </c>
      <c r="K477" s="291">
        <f t="shared" si="42"/>
        <v>0</v>
      </c>
      <c r="L477" s="291">
        <f t="shared" si="43"/>
        <v>0</v>
      </c>
      <c r="M477" s="291">
        <f t="shared" si="44"/>
        <v>0</v>
      </c>
      <c r="N477" s="295">
        <f t="shared" si="45"/>
        <v>1.064108801074326E-10</v>
      </c>
    </row>
    <row r="478" spans="2:14" x14ac:dyDescent="0.45">
      <c r="B478" s="294"/>
      <c r="C478" s="291"/>
      <c r="D478" s="291"/>
      <c r="E478" s="291"/>
      <c r="F478" s="291"/>
      <c r="G478" s="295"/>
      <c r="I478" s="294">
        <f t="shared" si="46"/>
        <v>59506</v>
      </c>
      <c r="J478" s="291">
        <f t="shared" si="47"/>
        <v>1.064108801074326E-10</v>
      </c>
      <c r="K478" s="291">
        <f t="shared" si="42"/>
        <v>0</v>
      </c>
      <c r="L478" s="291">
        <f t="shared" si="43"/>
        <v>0</v>
      </c>
      <c r="M478" s="291">
        <f t="shared" si="44"/>
        <v>0</v>
      </c>
      <c r="N478" s="295">
        <f t="shared" si="45"/>
        <v>1.064108801074326E-10</v>
      </c>
    </row>
    <row r="479" spans="2:14" x14ac:dyDescent="0.45">
      <c r="B479" s="294"/>
      <c r="C479" s="291"/>
      <c r="D479" s="291"/>
      <c r="E479" s="291"/>
      <c r="F479" s="291"/>
      <c r="G479" s="295"/>
      <c r="I479" s="294">
        <f t="shared" si="46"/>
        <v>59537</v>
      </c>
      <c r="J479" s="291">
        <f t="shared" si="47"/>
        <v>1.064108801074326E-10</v>
      </c>
      <c r="K479" s="291">
        <f t="shared" si="42"/>
        <v>0</v>
      </c>
      <c r="L479" s="291">
        <f t="shared" si="43"/>
        <v>0</v>
      </c>
      <c r="M479" s="291">
        <f t="shared" si="44"/>
        <v>0</v>
      </c>
      <c r="N479" s="295">
        <f t="shared" si="45"/>
        <v>1.064108801074326E-10</v>
      </c>
    </row>
    <row r="480" spans="2:14" x14ac:dyDescent="0.45">
      <c r="B480" s="294"/>
      <c r="C480" s="291"/>
      <c r="D480" s="291"/>
      <c r="E480" s="291"/>
      <c r="F480" s="291"/>
      <c r="G480" s="295"/>
      <c r="I480" s="294">
        <f t="shared" si="46"/>
        <v>59568</v>
      </c>
      <c r="J480" s="291">
        <f t="shared" si="47"/>
        <v>1.064108801074326E-10</v>
      </c>
      <c r="K480" s="291">
        <f t="shared" si="42"/>
        <v>0</v>
      </c>
      <c r="L480" s="291">
        <f t="shared" si="43"/>
        <v>0</v>
      </c>
      <c r="M480" s="291">
        <f t="shared" si="44"/>
        <v>0</v>
      </c>
      <c r="N480" s="295">
        <f t="shared" si="45"/>
        <v>1.064108801074326E-10</v>
      </c>
    </row>
    <row r="481" spans="2:14" x14ac:dyDescent="0.45">
      <c r="B481" s="294"/>
      <c r="C481" s="291"/>
      <c r="D481" s="291"/>
      <c r="E481" s="291"/>
      <c r="F481" s="291"/>
      <c r="G481" s="295"/>
      <c r="I481" s="294">
        <f t="shared" si="46"/>
        <v>59596</v>
      </c>
      <c r="J481" s="291">
        <f t="shared" si="47"/>
        <v>1.064108801074326E-10</v>
      </c>
      <c r="K481" s="291">
        <f t="shared" si="42"/>
        <v>0</v>
      </c>
      <c r="L481" s="291">
        <f t="shared" si="43"/>
        <v>0</v>
      </c>
      <c r="M481" s="291">
        <f t="shared" si="44"/>
        <v>0</v>
      </c>
      <c r="N481" s="295">
        <f t="shared" si="45"/>
        <v>1.064108801074326E-10</v>
      </c>
    </row>
    <row r="482" spans="2:14" x14ac:dyDescent="0.45">
      <c r="B482" s="294"/>
      <c r="C482" s="291"/>
      <c r="D482" s="291"/>
      <c r="E482" s="291"/>
      <c r="F482" s="291"/>
      <c r="G482" s="295"/>
      <c r="I482" s="294">
        <f t="shared" si="46"/>
        <v>59627</v>
      </c>
      <c r="J482" s="291">
        <f t="shared" si="47"/>
        <v>1.064108801074326E-10</v>
      </c>
      <c r="K482" s="291">
        <f t="shared" si="42"/>
        <v>0</v>
      </c>
      <c r="L482" s="291">
        <f t="shared" si="43"/>
        <v>0</v>
      </c>
      <c r="M482" s="291">
        <f t="shared" si="44"/>
        <v>0</v>
      </c>
      <c r="N482" s="295">
        <f t="shared" si="45"/>
        <v>1.064108801074326E-10</v>
      </c>
    </row>
    <row r="483" spans="2:14" x14ac:dyDescent="0.45">
      <c r="B483" s="294"/>
      <c r="C483" s="291"/>
      <c r="D483" s="291"/>
      <c r="E483" s="291"/>
      <c r="F483" s="291"/>
      <c r="G483" s="295"/>
      <c r="I483" s="294">
        <f t="shared" si="46"/>
        <v>59657</v>
      </c>
      <c r="J483" s="291">
        <f t="shared" si="47"/>
        <v>1.064108801074326E-10</v>
      </c>
      <c r="K483" s="291">
        <f t="shared" si="42"/>
        <v>0</v>
      </c>
      <c r="L483" s="291">
        <f t="shared" si="43"/>
        <v>0</v>
      </c>
      <c r="M483" s="291">
        <f t="shared" si="44"/>
        <v>0</v>
      </c>
      <c r="N483" s="295">
        <f t="shared" si="45"/>
        <v>1.064108801074326E-10</v>
      </c>
    </row>
    <row r="484" spans="2:14" x14ac:dyDescent="0.45">
      <c r="B484" s="294"/>
      <c r="C484" s="291"/>
      <c r="D484" s="291"/>
      <c r="E484" s="291"/>
      <c r="F484" s="291"/>
      <c r="G484" s="295"/>
      <c r="I484" s="294">
        <f t="shared" si="46"/>
        <v>59688</v>
      </c>
      <c r="J484" s="291">
        <f t="shared" si="47"/>
        <v>1.064108801074326E-10</v>
      </c>
      <c r="K484" s="291">
        <f t="shared" si="42"/>
        <v>0</v>
      </c>
      <c r="L484" s="291">
        <f t="shared" si="43"/>
        <v>0</v>
      </c>
      <c r="M484" s="291">
        <f t="shared" si="44"/>
        <v>0</v>
      </c>
      <c r="N484" s="295">
        <f t="shared" si="45"/>
        <v>1.064108801074326E-10</v>
      </c>
    </row>
    <row r="485" spans="2:14" x14ac:dyDescent="0.45">
      <c r="B485" s="294"/>
      <c r="C485" s="291"/>
      <c r="D485" s="291"/>
      <c r="E485" s="291"/>
      <c r="F485" s="291"/>
      <c r="G485" s="295"/>
      <c r="I485" s="294">
        <f t="shared" si="46"/>
        <v>59718</v>
      </c>
      <c r="J485" s="291">
        <f t="shared" si="47"/>
        <v>1.064108801074326E-10</v>
      </c>
      <c r="K485" s="291">
        <f t="shared" si="42"/>
        <v>0</v>
      </c>
      <c r="L485" s="291">
        <f t="shared" si="43"/>
        <v>0</v>
      </c>
      <c r="M485" s="291">
        <f t="shared" si="44"/>
        <v>0</v>
      </c>
      <c r="N485" s="295">
        <f t="shared" si="45"/>
        <v>1.064108801074326E-10</v>
      </c>
    </row>
    <row r="486" spans="2:14" x14ac:dyDescent="0.45">
      <c r="B486" s="294"/>
      <c r="C486" s="291"/>
      <c r="D486" s="291"/>
      <c r="E486" s="291"/>
      <c r="F486" s="291"/>
      <c r="G486" s="295"/>
      <c r="I486" s="294">
        <f t="shared" si="46"/>
        <v>59749</v>
      </c>
      <c r="J486" s="291">
        <f t="shared" si="47"/>
        <v>1.064108801074326E-10</v>
      </c>
      <c r="K486" s="291">
        <f t="shared" si="42"/>
        <v>0</v>
      </c>
      <c r="L486" s="291">
        <f t="shared" si="43"/>
        <v>0</v>
      </c>
      <c r="M486" s="291">
        <f t="shared" si="44"/>
        <v>0</v>
      </c>
      <c r="N486" s="295">
        <f t="shared" si="45"/>
        <v>1.064108801074326E-10</v>
      </c>
    </row>
    <row r="487" spans="2:14" x14ac:dyDescent="0.45">
      <c r="B487" s="294"/>
      <c r="C487" s="291"/>
      <c r="D487" s="291"/>
      <c r="E487" s="291"/>
      <c r="F487" s="291"/>
      <c r="G487" s="295"/>
      <c r="I487" s="294">
        <f t="shared" si="46"/>
        <v>59780</v>
      </c>
      <c r="J487" s="291">
        <f t="shared" si="47"/>
        <v>1.064108801074326E-10</v>
      </c>
      <c r="K487" s="291">
        <f t="shared" si="42"/>
        <v>0</v>
      </c>
      <c r="L487" s="291">
        <f t="shared" si="43"/>
        <v>0</v>
      </c>
      <c r="M487" s="291">
        <f t="shared" si="44"/>
        <v>0</v>
      </c>
      <c r="N487" s="295">
        <f t="shared" si="45"/>
        <v>1.064108801074326E-10</v>
      </c>
    </row>
    <row r="488" spans="2:14" x14ac:dyDescent="0.45">
      <c r="B488" s="294"/>
      <c r="C488" s="291"/>
      <c r="D488" s="291"/>
      <c r="E488" s="291"/>
      <c r="F488" s="291"/>
      <c r="G488" s="295"/>
      <c r="I488" s="294">
        <f t="shared" si="46"/>
        <v>59810</v>
      </c>
      <c r="J488" s="291">
        <f t="shared" si="47"/>
        <v>1.064108801074326E-10</v>
      </c>
      <c r="K488" s="291">
        <f t="shared" si="42"/>
        <v>0</v>
      </c>
      <c r="L488" s="291">
        <f t="shared" si="43"/>
        <v>0</v>
      </c>
      <c r="M488" s="291">
        <f t="shared" si="44"/>
        <v>0</v>
      </c>
      <c r="N488" s="295">
        <f t="shared" si="45"/>
        <v>1.064108801074326E-10</v>
      </c>
    </row>
    <row r="489" spans="2:14" ht="14.65" thickBot="1" x14ac:dyDescent="0.5">
      <c r="B489" s="296"/>
      <c r="C489" s="297"/>
      <c r="D489" s="291"/>
      <c r="E489" s="291"/>
      <c r="F489" s="297"/>
      <c r="G489" s="298"/>
      <c r="I489" s="296">
        <f t="shared" si="46"/>
        <v>59841</v>
      </c>
      <c r="J489" s="297">
        <f t="shared" si="47"/>
        <v>1.064108801074326E-10</v>
      </c>
      <c r="K489" s="291">
        <f t="shared" si="42"/>
        <v>0</v>
      </c>
      <c r="L489" s="291">
        <f t="shared" si="43"/>
        <v>0</v>
      </c>
      <c r="M489" s="297">
        <f t="shared" si="44"/>
        <v>0</v>
      </c>
      <c r="N489" s="298">
        <f t="shared" si="45"/>
        <v>1.064108801074326E-10</v>
      </c>
    </row>
  </sheetData>
  <mergeCells count="2">
    <mergeCell ref="B3:G3"/>
    <mergeCell ref="I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0247-F733-493C-8140-5337072F404B}">
  <dimension ref="C4:N29"/>
  <sheetViews>
    <sheetView showGridLines="0" workbookViewId="0">
      <selection activeCell="C14" sqref="C14"/>
    </sheetView>
  </sheetViews>
  <sheetFormatPr baseColWidth="10" defaultRowHeight="14.25" x14ac:dyDescent="0.45"/>
  <cols>
    <col min="3" max="3" width="53.796875" bestFit="1" customWidth="1"/>
    <col min="4" max="4" width="11.33203125" bestFit="1" customWidth="1"/>
    <col min="5" max="8" width="12.33203125" bestFit="1" customWidth="1"/>
    <col min="12" max="13" width="11.33203125" bestFit="1" customWidth="1"/>
  </cols>
  <sheetData>
    <row r="4" spans="3:13" x14ac:dyDescent="0.45">
      <c r="C4" s="79"/>
      <c r="D4" s="79">
        <v>2021</v>
      </c>
      <c r="E4" s="79">
        <v>2022</v>
      </c>
      <c r="F4" s="79">
        <v>2023</v>
      </c>
      <c r="G4" s="79">
        <v>2024</v>
      </c>
      <c r="H4" s="79">
        <v>2025</v>
      </c>
      <c r="I4" s="79">
        <v>2026</v>
      </c>
      <c r="J4" s="79">
        <v>2027</v>
      </c>
      <c r="K4" s="79">
        <v>2028</v>
      </c>
      <c r="L4" s="79">
        <v>2029</v>
      </c>
      <c r="M4" s="79">
        <v>2030</v>
      </c>
    </row>
    <row r="5" spans="3:13" x14ac:dyDescent="0.45">
      <c r="C5" s="67" t="s">
        <v>57</v>
      </c>
      <c r="D5" s="75">
        <v>2500</v>
      </c>
      <c r="E5" s="75">
        <v>3500</v>
      </c>
      <c r="F5" s="75">
        <v>5000</v>
      </c>
      <c r="G5" s="75">
        <v>5000</v>
      </c>
      <c r="H5" s="75">
        <v>5000</v>
      </c>
      <c r="I5" s="75">
        <v>5000</v>
      </c>
      <c r="J5" s="75">
        <v>5000</v>
      </c>
      <c r="K5" s="75">
        <v>5000</v>
      </c>
      <c r="L5" s="75">
        <v>5000</v>
      </c>
      <c r="M5" s="75">
        <v>5000</v>
      </c>
    </row>
    <row r="6" spans="3:13" x14ac:dyDescent="0.45">
      <c r="C6" s="67" t="s">
        <v>58</v>
      </c>
      <c r="D6" s="75">
        <v>1</v>
      </c>
      <c r="E6" s="75">
        <v>1</v>
      </c>
      <c r="F6" s="75">
        <v>1</v>
      </c>
      <c r="G6" s="75">
        <v>1</v>
      </c>
      <c r="H6" s="75">
        <v>1</v>
      </c>
      <c r="I6" s="75">
        <v>1</v>
      </c>
      <c r="J6" s="75">
        <v>1</v>
      </c>
      <c r="K6" s="75">
        <v>1</v>
      </c>
      <c r="L6" s="75">
        <v>1</v>
      </c>
      <c r="M6" s="75">
        <v>1</v>
      </c>
    </row>
    <row r="7" spans="3:13" x14ac:dyDescent="0.45">
      <c r="C7" s="67" t="s">
        <v>59</v>
      </c>
      <c r="D7" s="82">
        <v>0.1</v>
      </c>
      <c r="E7" s="82">
        <v>0.1</v>
      </c>
      <c r="F7" s="82">
        <v>0.1</v>
      </c>
      <c r="G7" s="82">
        <v>0.1</v>
      </c>
      <c r="H7" s="82">
        <v>0.1</v>
      </c>
      <c r="I7" s="82">
        <v>0.1</v>
      </c>
      <c r="J7" s="82">
        <v>0.1</v>
      </c>
      <c r="K7" s="82">
        <v>0.1</v>
      </c>
      <c r="L7" s="82">
        <v>0.1</v>
      </c>
      <c r="M7" s="82">
        <v>0.1</v>
      </c>
    </row>
    <row r="8" spans="3:13" x14ac:dyDescent="0.45">
      <c r="C8" s="67" t="s">
        <v>72</v>
      </c>
      <c r="D8" s="83"/>
      <c r="E8" s="83">
        <v>0.1</v>
      </c>
      <c r="F8" s="83">
        <v>0.1</v>
      </c>
      <c r="G8" s="83">
        <v>0.09</v>
      </c>
      <c r="H8" s="83">
        <v>0.08</v>
      </c>
      <c r="I8" s="83">
        <v>7.0000000000000007E-2</v>
      </c>
      <c r="J8" s="83">
        <v>0.06</v>
      </c>
      <c r="K8" s="83">
        <v>0.05</v>
      </c>
      <c r="L8" s="83">
        <v>0.05</v>
      </c>
      <c r="M8" s="83">
        <v>0.05</v>
      </c>
    </row>
    <row r="9" spans="3:13" x14ac:dyDescent="0.45">
      <c r="C9" s="67" t="s">
        <v>74</v>
      </c>
      <c r="D9" s="84">
        <v>0.02</v>
      </c>
      <c r="E9" s="84">
        <v>0.02</v>
      </c>
      <c r="F9" s="84">
        <v>0.02</v>
      </c>
      <c r="G9" s="84">
        <v>0.02</v>
      </c>
      <c r="H9" s="84">
        <v>0.02</v>
      </c>
      <c r="I9" s="84">
        <v>1.7999999999999999E-2</v>
      </c>
      <c r="J9" s="84">
        <v>1.6E-2</v>
      </c>
      <c r="K9" s="84">
        <v>1.4999999999999999E-2</v>
      </c>
      <c r="L9" s="84">
        <v>1.4999999999999999E-2</v>
      </c>
      <c r="M9" s="84">
        <v>1.4999999999999999E-2</v>
      </c>
    </row>
    <row r="10" spans="3:13" x14ac:dyDescent="0.45">
      <c r="C10" s="67" t="s">
        <v>75</v>
      </c>
      <c r="D10" s="73">
        <v>10</v>
      </c>
      <c r="E10" s="73">
        <v>10</v>
      </c>
      <c r="F10" s="73">
        <v>10</v>
      </c>
      <c r="G10" s="73">
        <v>10</v>
      </c>
      <c r="H10" s="73">
        <v>10</v>
      </c>
      <c r="I10" s="73">
        <v>11</v>
      </c>
      <c r="J10" s="73">
        <v>12</v>
      </c>
      <c r="K10" s="73">
        <v>13</v>
      </c>
      <c r="L10" s="73">
        <v>14</v>
      </c>
      <c r="M10" s="73">
        <v>15</v>
      </c>
    </row>
    <row r="11" spans="3:13" x14ac:dyDescent="0.45">
      <c r="C11" s="67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3:13" x14ac:dyDescent="0.45">
      <c r="C12" s="67" t="s">
        <v>77</v>
      </c>
      <c r="D12" s="84">
        <v>0.02</v>
      </c>
      <c r="E12" s="84">
        <v>0.01</v>
      </c>
      <c r="F12" s="84">
        <v>7.0000000000000001E-3</v>
      </c>
      <c r="G12" s="84">
        <v>5.0000000000000001E-3</v>
      </c>
      <c r="H12" s="84">
        <v>5.0000000000000001E-3</v>
      </c>
      <c r="I12" s="84">
        <v>5.0000000000000001E-3</v>
      </c>
      <c r="J12" s="84">
        <v>5.0000000000000001E-3</v>
      </c>
      <c r="K12" s="84">
        <v>5.0000000000000001E-3</v>
      </c>
      <c r="L12" s="84">
        <v>5.0000000000000001E-3</v>
      </c>
      <c r="M12" s="84">
        <v>5.0000000000000001E-3</v>
      </c>
    </row>
    <row r="13" spans="3:13" x14ac:dyDescent="0.45">
      <c r="C13" s="67" t="s">
        <v>79</v>
      </c>
      <c r="D13" s="73">
        <v>30</v>
      </c>
      <c r="E13" s="73">
        <v>30</v>
      </c>
      <c r="F13" s="73">
        <v>30</v>
      </c>
      <c r="G13" s="73">
        <v>30</v>
      </c>
      <c r="H13" s="73">
        <v>30</v>
      </c>
      <c r="I13" s="73">
        <v>30</v>
      </c>
      <c r="J13" s="73">
        <v>30</v>
      </c>
      <c r="K13" s="73">
        <v>30</v>
      </c>
      <c r="L13" s="73">
        <v>30</v>
      </c>
      <c r="M13" s="73">
        <v>30</v>
      </c>
    </row>
    <row r="14" spans="3:13" x14ac:dyDescent="0.45">
      <c r="C14" s="67" t="s">
        <v>81</v>
      </c>
      <c r="D14" s="73">
        <v>30</v>
      </c>
      <c r="E14" s="73">
        <v>25</v>
      </c>
      <c r="F14" s="73">
        <v>22</v>
      </c>
      <c r="G14" s="73">
        <v>22</v>
      </c>
      <c r="H14" s="73">
        <v>22</v>
      </c>
      <c r="I14" s="73">
        <v>22</v>
      </c>
      <c r="J14" s="73">
        <v>22</v>
      </c>
      <c r="K14" s="73">
        <v>22</v>
      </c>
      <c r="L14" s="73">
        <v>22</v>
      </c>
      <c r="M14" s="73">
        <v>22</v>
      </c>
    </row>
    <row r="15" spans="3:13" x14ac:dyDescent="0.45">
      <c r="C15" s="67" t="s">
        <v>82</v>
      </c>
      <c r="D15" s="73">
        <v>15</v>
      </c>
      <c r="E15" s="73">
        <v>15</v>
      </c>
      <c r="F15" s="73">
        <v>15</v>
      </c>
      <c r="G15" s="73">
        <v>15</v>
      </c>
      <c r="H15" s="73">
        <v>15</v>
      </c>
      <c r="I15" s="73">
        <v>15</v>
      </c>
      <c r="J15" s="73">
        <v>15</v>
      </c>
      <c r="K15" s="73">
        <v>15</v>
      </c>
      <c r="L15" s="73">
        <v>15</v>
      </c>
      <c r="M15" s="73">
        <v>15</v>
      </c>
    </row>
    <row r="16" spans="3:13" x14ac:dyDescent="0.45">
      <c r="C16" s="67" t="s">
        <v>83</v>
      </c>
      <c r="D16" s="83">
        <v>0.1</v>
      </c>
      <c r="E16" s="83">
        <v>0.1</v>
      </c>
      <c r="F16" s="83">
        <v>0.1</v>
      </c>
      <c r="G16" s="83">
        <v>0.1</v>
      </c>
      <c r="H16" s="83">
        <v>0.1</v>
      </c>
      <c r="I16" s="83">
        <v>0.1</v>
      </c>
      <c r="J16" s="83">
        <v>0.1</v>
      </c>
      <c r="K16" s="83">
        <v>0.1</v>
      </c>
      <c r="L16" s="83">
        <v>0.1</v>
      </c>
      <c r="M16" s="83">
        <v>0.1</v>
      </c>
    </row>
    <row r="17" spans="3:14" x14ac:dyDescent="0.45">
      <c r="C17" s="67" t="s">
        <v>84</v>
      </c>
      <c r="D17" s="85">
        <v>5.0000000000000001E-3</v>
      </c>
      <c r="E17" s="85">
        <v>4.0000000000000001E-3</v>
      </c>
      <c r="F17" s="85">
        <v>3.0000000000000001E-3</v>
      </c>
      <c r="G17" s="85">
        <v>2E-3</v>
      </c>
      <c r="H17" s="85">
        <v>2E-3</v>
      </c>
      <c r="I17" s="85">
        <v>2E-3</v>
      </c>
      <c r="J17" s="85">
        <v>2E-3</v>
      </c>
      <c r="K17" s="85">
        <v>2E-3</v>
      </c>
      <c r="L17" s="85">
        <v>2E-3</v>
      </c>
      <c r="M17" s="85">
        <v>2E-3</v>
      </c>
    </row>
    <row r="18" spans="3:14" x14ac:dyDescent="0.45">
      <c r="C18" s="67"/>
      <c r="D18" s="85"/>
      <c r="E18" s="85"/>
      <c r="F18" s="85"/>
    </row>
    <row r="21" spans="3:14" x14ac:dyDescent="0.45">
      <c r="C21" s="405" t="s">
        <v>91</v>
      </c>
      <c r="D21" s="405"/>
      <c r="E21" s="405"/>
      <c r="F21" s="405"/>
      <c r="G21" s="405"/>
      <c r="H21" s="405"/>
    </row>
    <row r="22" spans="3:14" ht="15.75" x14ac:dyDescent="0.5"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"/>
    </row>
    <row r="23" spans="3:14" ht="15.75" x14ac:dyDescent="0.5">
      <c r="C23" s="80" t="s">
        <v>85</v>
      </c>
      <c r="D23" s="81"/>
      <c r="E23" s="81"/>
      <c r="F23" s="81">
        <v>15000</v>
      </c>
      <c r="G23" s="81">
        <v>40000</v>
      </c>
      <c r="H23" s="81">
        <v>170000</v>
      </c>
      <c r="I23" s="81">
        <f t="shared" ref="I23:J28" si="0">H23*1.5</f>
        <v>255000</v>
      </c>
      <c r="J23" s="81">
        <f t="shared" si="0"/>
        <v>382500</v>
      </c>
      <c r="K23" s="81">
        <f>J23*1.2</f>
        <v>459000</v>
      </c>
      <c r="L23" s="81">
        <f t="shared" ref="L23:M23" si="1">K23*1.2</f>
        <v>550800</v>
      </c>
      <c r="M23" s="81">
        <f t="shared" si="1"/>
        <v>660960</v>
      </c>
    </row>
    <row r="24" spans="3:14" ht="15.75" x14ac:dyDescent="0.5">
      <c r="C24" s="80" t="s">
        <v>86</v>
      </c>
      <c r="D24" s="81"/>
      <c r="E24" s="81"/>
      <c r="F24" s="81">
        <v>15000</v>
      </c>
      <c r="G24" s="81">
        <v>40000</v>
      </c>
      <c r="H24" s="81">
        <v>170000</v>
      </c>
      <c r="I24" s="81">
        <f t="shared" si="0"/>
        <v>255000</v>
      </c>
      <c r="J24" s="81">
        <f t="shared" si="0"/>
        <v>382500</v>
      </c>
      <c r="K24" s="81">
        <f t="shared" ref="K24:M28" si="2">J24*1.2</f>
        <v>459000</v>
      </c>
      <c r="L24" s="81">
        <f t="shared" si="2"/>
        <v>550800</v>
      </c>
      <c r="M24" s="81">
        <f t="shared" si="2"/>
        <v>660960</v>
      </c>
    </row>
    <row r="25" spans="3:14" ht="15.75" x14ac:dyDescent="0.5">
      <c r="C25" s="80" t="s">
        <v>87</v>
      </c>
      <c r="D25" s="81"/>
      <c r="E25" s="81"/>
      <c r="F25" s="81">
        <v>15000</v>
      </c>
      <c r="G25" s="81">
        <v>40000</v>
      </c>
      <c r="H25" s="81">
        <v>170000</v>
      </c>
      <c r="I25" s="81">
        <f t="shared" si="0"/>
        <v>255000</v>
      </c>
      <c r="J25" s="81">
        <f t="shared" si="0"/>
        <v>382500</v>
      </c>
      <c r="K25" s="81">
        <f t="shared" si="2"/>
        <v>459000</v>
      </c>
      <c r="L25" s="81">
        <f t="shared" si="2"/>
        <v>550800</v>
      </c>
      <c r="M25" s="81">
        <f t="shared" si="2"/>
        <v>660960</v>
      </c>
    </row>
    <row r="26" spans="3:14" ht="15.75" x14ac:dyDescent="0.5">
      <c r="C26" s="80" t="s">
        <v>88</v>
      </c>
      <c r="D26" s="81"/>
      <c r="E26" s="81"/>
      <c r="F26" s="81">
        <v>15000</v>
      </c>
      <c r="G26" s="81">
        <v>40000</v>
      </c>
      <c r="H26" s="81">
        <v>170000</v>
      </c>
      <c r="I26" s="81">
        <f t="shared" si="0"/>
        <v>255000</v>
      </c>
      <c r="J26" s="81">
        <f t="shared" si="0"/>
        <v>382500</v>
      </c>
      <c r="K26" s="81">
        <f t="shared" si="2"/>
        <v>459000</v>
      </c>
      <c r="L26" s="81">
        <f t="shared" si="2"/>
        <v>550800</v>
      </c>
      <c r="M26" s="81">
        <f t="shared" si="2"/>
        <v>660960</v>
      </c>
    </row>
    <row r="27" spans="3:14" ht="15.75" x14ac:dyDescent="0.5">
      <c r="C27" s="80" t="s">
        <v>89</v>
      </c>
      <c r="D27" s="81"/>
      <c r="E27" s="81"/>
      <c r="F27" s="81">
        <v>50000</v>
      </c>
      <c r="G27" s="81">
        <v>100000</v>
      </c>
      <c r="H27" s="81">
        <v>290000</v>
      </c>
      <c r="I27" s="81">
        <f t="shared" si="0"/>
        <v>435000</v>
      </c>
      <c r="J27" s="81">
        <f t="shared" si="0"/>
        <v>652500</v>
      </c>
      <c r="K27" s="81">
        <f t="shared" si="2"/>
        <v>783000</v>
      </c>
      <c r="L27" s="81">
        <f t="shared" si="2"/>
        <v>939600</v>
      </c>
      <c r="M27" s="81">
        <f t="shared" si="2"/>
        <v>1127520</v>
      </c>
    </row>
    <row r="28" spans="3:14" ht="15.75" x14ac:dyDescent="0.5">
      <c r="C28" s="80" t="s">
        <v>90</v>
      </c>
      <c r="D28" s="81"/>
      <c r="E28" s="81"/>
      <c r="F28" s="81">
        <v>30000</v>
      </c>
      <c r="G28" s="81">
        <v>40000</v>
      </c>
      <c r="H28" s="81">
        <v>170000</v>
      </c>
      <c r="I28" s="81">
        <f t="shared" si="0"/>
        <v>255000</v>
      </c>
      <c r="J28" s="81">
        <f t="shared" si="0"/>
        <v>382500</v>
      </c>
      <c r="K28" s="81">
        <f t="shared" si="2"/>
        <v>459000</v>
      </c>
      <c r="L28" s="81">
        <f t="shared" si="2"/>
        <v>550800</v>
      </c>
      <c r="M28" s="81">
        <f t="shared" si="2"/>
        <v>660960</v>
      </c>
    </row>
    <row r="29" spans="3:14" ht="15.75" x14ac:dyDescent="0.5">
      <c r="C29" s="80" t="s">
        <v>92</v>
      </c>
      <c r="D29" s="81"/>
      <c r="E29" s="81"/>
      <c r="F29" s="81">
        <v>50000</v>
      </c>
      <c r="G29" s="81">
        <v>80000</v>
      </c>
      <c r="H29" s="81">
        <v>200000</v>
      </c>
      <c r="I29" s="81">
        <f t="shared" ref="I29" si="3">H29*1.4</f>
        <v>280000</v>
      </c>
      <c r="J29" s="81">
        <v>280000</v>
      </c>
      <c r="K29" s="81">
        <v>280000</v>
      </c>
      <c r="L29" s="81">
        <v>280000</v>
      </c>
      <c r="M29" s="81">
        <v>280000</v>
      </c>
    </row>
  </sheetData>
  <mergeCells count="1">
    <mergeCell ref="C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53289-DB53-4773-8F5E-FAC402C82A00}">
  <dimension ref="A3:M21"/>
  <sheetViews>
    <sheetView showGridLines="0" tabSelected="1" workbookViewId="0">
      <selection activeCell="O10" sqref="O10"/>
    </sheetView>
  </sheetViews>
  <sheetFormatPr baseColWidth="10" defaultRowHeight="14.25" x14ac:dyDescent="0.45"/>
  <cols>
    <col min="1" max="1" width="15.53125" bestFit="1" customWidth="1"/>
    <col min="2" max="2" width="38.265625" bestFit="1" customWidth="1"/>
    <col min="3" max="3" width="10.73046875" bestFit="1" customWidth="1"/>
    <col min="4" max="5" width="10.86328125" bestFit="1" customWidth="1"/>
    <col min="6" max="7" width="12.33203125" bestFit="1" customWidth="1"/>
    <col min="8" max="8" width="10.86328125" bestFit="1" customWidth="1"/>
    <col min="9" max="9" width="12.86328125" customWidth="1"/>
    <col min="10" max="12" width="10.86328125" bestFit="1" customWidth="1"/>
    <col min="13" max="13" width="12.46484375" customWidth="1"/>
  </cols>
  <sheetData>
    <row r="3" spans="1:13" x14ac:dyDescent="0.45">
      <c r="B3" t="s">
        <v>64</v>
      </c>
    </row>
    <row r="4" spans="1:13" x14ac:dyDescent="0.45">
      <c r="B4" t="s">
        <v>60</v>
      </c>
      <c r="C4" s="73">
        <v>120</v>
      </c>
      <c r="F4" t="s">
        <v>303</v>
      </c>
      <c r="I4" t="s">
        <v>304</v>
      </c>
    </row>
    <row r="5" spans="1:13" x14ac:dyDescent="0.45">
      <c r="F5" s="75">
        <v>2000</v>
      </c>
      <c r="I5" s="75">
        <v>600</v>
      </c>
    </row>
    <row r="6" spans="1:13" x14ac:dyDescent="0.45">
      <c r="B6" t="s">
        <v>299</v>
      </c>
    </row>
    <row r="7" spans="1:13" x14ac:dyDescent="0.45">
      <c r="B7" t="s">
        <v>60</v>
      </c>
      <c r="C7" s="73">
        <v>30000</v>
      </c>
    </row>
    <row r="9" spans="1:13" x14ac:dyDescent="0.45">
      <c r="B9" t="s">
        <v>62</v>
      </c>
      <c r="C9">
        <v>2021</v>
      </c>
      <c r="D9">
        <v>2022</v>
      </c>
      <c r="E9">
        <v>2023</v>
      </c>
      <c r="F9">
        <v>2024</v>
      </c>
      <c r="G9">
        <v>2025</v>
      </c>
      <c r="H9">
        <v>2026</v>
      </c>
      <c r="I9">
        <v>2027</v>
      </c>
      <c r="J9">
        <v>2028</v>
      </c>
      <c r="K9">
        <v>2029</v>
      </c>
      <c r="L9">
        <v>2030</v>
      </c>
    </row>
    <row r="10" spans="1:13" x14ac:dyDescent="0.45">
      <c r="B10" t="s">
        <v>300</v>
      </c>
      <c r="E10">
        <f>SUM('Hypothèses de recrutement'!A11:A22)</f>
        <v>3</v>
      </c>
      <c r="F10">
        <f>SUM('Hypothèses de recrutement'!A11:A24)</f>
        <v>8</v>
      </c>
      <c r="G10">
        <f>SUM('Hypothèses de recrutement'!A11:A26)</f>
        <v>13</v>
      </c>
      <c r="H10">
        <f>SUM('Hypothèses de recrutement'!A11:A31)</f>
        <v>16</v>
      </c>
      <c r="I10">
        <f>SUM('Hypothèses de recrutement'!A11:A33)</f>
        <v>18</v>
      </c>
      <c r="J10">
        <f>SUM('Hypothèses de recrutement'!A11:A36)</f>
        <v>20</v>
      </c>
      <c r="K10">
        <f>J10</f>
        <v>20</v>
      </c>
      <c r="L10">
        <f>K10</f>
        <v>20</v>
      </c>
    </row>
    <row r="11" spans="1:13" x14ac:dyDescent="0.45">
      <c r="B11" t="s">
        <v>302</v>
      </c>
      <c r="E11" s="76">
        <v>1</v>
      </c>
      <c r="F11" s="76">
        <v>1</v>
      </c>
      <c r="G11" s="76">
        <v>1</v>
      </c>
      <c r="H11" s="76">
        <v>1</v>
      </c>
      <c r="I11" s="76">
        <v>0.8</v>
      </c>
      <c r="J11" s="76">
        <v>0.6</v>
      </c>
      <c r="K11" s="76">
        <v>0.4</v>
      </c>
      <c r="L11" s="76">
        <v>0.25</v>
      </c>
    </row>
    <row r="12" spans="1:13" x14ac:dyDescent="0.45">
      <c r="B12" t="s">
        <v>301</v>
      </c>
      <c r="E12">
        <f>$F$5*E10*E11</f>
        <v>6000</v>
      </c>
      <c r="F12">
        <f t="shared" ref="F12:L12" si="0">$F$5*F10*F11</f>
        <v>16000</v>
      </c>
      <c r="G12">
        <f t="shared" si="0"/>
        <v>26000</v>
      </c>
      <c r="H12">
        <f t="shared" si="0"/>
        <v>32000</v>
      </c>
      <c r="I12">
        <f t="shared" si="0"/>
        <v>28800</v>
      </c>
      <c r="J12">
        <f t="shared" si="0"/>
        <v>24000</v>
      </c>
      <c r="K12">
        <f t="shared" si="0"/>
        <v>16000</v>
      </c>
      <c r="L12">
        <f t="shared" si="0"/>
        <v>10000</v>
      </c>
    </row>
    <row r="13" spans="1:13" x14ac:dyDescent="0.45">
      <c r="A13" s="406" t="s">
        <v>61</v>
      </c>
      <c r="B13" t="s">
        <v>63</v>
      </c>
      <c r="C13" s="75">
        <v>0</v>
      </c>
      <c r="D13" s="75">
        <v>0</v>
      </c>
      <c r="E13" s="75">
        <f>E12</f>
        <v>6000</v>
      </c>
      <c r="F13" s="75">
        <f>E13+F12</f>
        <v>22000</v>
      </c>
      <c r="G13" s="75">
        <f t="shared" ref="G13:L13" si="1">F13+G12</f>
        <v>48000</v>
      </c>
      <c r="H13" s="75">
        <f t="shared" si="1"/>
        <v>80000</v>
      </c>
      <c r="I13" s="75">
        <f t="shared" si="1"/>
        <v>108800</v>
      </c>
      <c r="J13" s="75">
        <f t="shared" si="1"/>
        <v>132800</v>
      </c>
      <c r="K13" s="75">
        <f t="shared" si="1"/>
        <v>148800</v>
      </c>
      <c r="L13" s="75">
        <f t="shared" si="1"/>
        <v>158800</v>
      </c>
      <c r="M13" s="1"/>
    </row>
    <row r="14" spans="1:13" x14ac:dyDescent="0.45">
      <c r="A14" s="406"/>
      <c r="B14" t="s">
        <v>298</v>
      </c>
      <c r="C14" s="75">
        <v>0</v>
      </c>
      <c r="D14" s="75">
        <v>0</v>
      </c>
      <c r="E14" s="469">
        <f>E13/$I$5</f>
        <v>10</v>
      </c>
      <c r="F14" s="469">
        <f t="shared" ref="F14:L14" si="2">F13/$I$5</f>
        <v>36.666666666666664</v>
      </c>
      <c r="G14" s="469">
        <f t="shared" si="2"/>
        <v>80</v>
      </c>
      <c r="H14" s="469">
        <f t="shared" si="2"/>
        <v>133.33333333333334</v>
      </c>
      <c r="I14" s="469">
        <f t="shared" si="2"/>
        <v>181.33333333333334</v>
      </c>
      <c r="J14" s="469">
        <f t="shared" si="2"/>
        <v>221.33333333333334</v>
      </c>
      <c r="K14" s="469">
        <f t="shared" si="2"/>
        <v>248</v>
      </c>
      <c r="L14" s="469">
        <f t="shared" si="2"/>
        <v>264.66666666666669</v>
      </c>
    </row>
    <row r="16" spans="1:13" x14ac:dyDescent="0.45">
      <c r="A16" s="402" t="s">
        <v>69</v>
      </c>
      <c r="B16" s="402"/>
      <c r="C16" s="402"/>
    </row>
    <row r="17" spans="1:12" x14ac:dyDescent="0.45">
      <c r="A17" t="s">
        <v>66</v>
      </c>
      <c r="B17" s="75">
        <v>150</v>
      </c>
      <c r="C17" t="s">
        <v>67</v>
      </c>
    </row>
    <row r="18" spans="1:12" x14ac:dyDescent="0.45">
      <c r="A18" t="s">
        <v>305</v>
      </c>
      <c r="B18" s="75">
        <v>40000</v>
      </c>
      <c r="C18" t="s">
        <v>67</v>
      </c>
    </row>
    <row r="20" spans="1:12" x14ac:dyDescent="0.45">
      <c r="B20" t="s">
        <v>62</v>
      </c>
      <c r="C20">
        <f t="shared" ref="C20:L20" si="3">C9</f>
        <v>2021</v>
      </c>
      <c r="D20">
        <f t="shared" si="3"/>
        <v>2022</v>
      </c>
      <c r="E20">
        <f t="shared" si="3"/>
        <v>2023</v>
      </c>
      <c r="F20">
        <f t="shared" si="3"/>
        <v>2024</v>
      </c>
      <c r="G20">
        <f t="shared" si="3"/>
        <v>2025</v>
      </c>
      <c r="H20">
        <f t="shared" si="3"/>
        <v>2026</v>
      </c>
      <c r="I20">
        <f t="shared" si="3"/>
        <v>2027</v>
      </c>
      <c r="J20">
        <f t="shared" si="3"/>
        <v>2028</v>
      </c>
      <c r="K20">
        <f t="shared" si="3"/>
        <v>2029</v>
      </c>
      <c r="L20">
        <f t="shared" si="3"/>
        <v>2030</v>
      </c>
    </row>
    <row r="21" spans="1:12" x14ac:dyDescent="0.45">
      <c r="B21" t="s">
        <v>68</v>
      </c>
      <c r="C21" s="74">
        <f t="shared" ref="C21:L21" si="4">$B$17*C13+$B$18*C14</f>
        <v>0</v>
      </c>
      <c r="D21" s="303">
        <f t="shared" si="4"/>
        <v>0</v>
      </c>
      <c r="E21" s="74">
        <f>$B$17*E13+$B$18*E14</f>
        <v>1300000</v>
      </c>
      <c r="F21" s="74">
        <f t="shared" si="4"/>
        <v>4766666.666666666</v>
      </c>
      <c r="G21" s="74">
        <f t="shared" si="4"/>
        <v>10400000</v>
      </c>
      <c r="H21" s="74">
        <f>$B$17*H13+$B$18*H14</f>
        <v>17333333.333333336</v>
      </c>
      <c r="I21" s="74">
        <f t="shared" si="4"/>
        <v>23573333.333333336</v>
      </c>
      <c r="J21" s="74">
        <f t="shared" si="4"/>
        <v>28773333.333333336</v>
      </c>
      <c r="K21" s="74">
        <f t="shared" si="4"/>
        <v>32240000</v>
      </c>
      <c r="L21" s="74">
        <f t="shared" si="4"/>
        <v>34406666.666666672</v>
      </c>
    </row>
  </sheetData>
  <mergeCells count="2">
    <mergeCell ref="A13:A14"/>
    <mergeCell ref="A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7FF8E-A11D-41A1-B66E-21DF81433D10}">
  <dimension ref="D4:G7"/>
  <sheetViews>
    <sheetView showGridLines="0" workbookViewId="0">
      <selection activeCell="D17" sqref="D16:E17"/>
    </sheetView>
  </sheetViews>
  <sheetFormatPr baseColWidth="10" defaultRowHeight="14.25" x14ac:dyDescent="0.45"/>
  <cols>
    <col min="4" max="4" width="20.33203125" bestFit="1" customWidth="1"/>
    <col min="5" max="6" width="12.33203125" bestFit="1" customWidth="1"/>
  </cols>
  <sheetData>
    <row r="4" spans="4:7" x14ac:dyDescent="0.45">
      <c r="D4" t="s">
        <v>183</v>
      </c>
      <c r="E4" s="469">
        <v>250000</v>
      </c>
      <c r="F4" s="283"/>
    </row>
    <row r="5" spans="4:7" x14ac:dyDescent="0.45">
      <c r="D5" t="s">
        <v>184</v>
      </c>
      <c r="E5" s="469">
        <v>2000000</v>
      </c>
    </row>
    <row r="6" spans="4:7" x14ac:dyDescent="0.45">
      <c r="D6" t="s">
        <v>259</v>
      </c>
      <c r="E6" s="469">
        <v>250000</v>
      </c>
    </row>
    <row r="7" spans="4:7" x14ac:dyDescent="0.45">
      <c r="G7" s="28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7A42-27A8-49C8-B380-2B3A979D7DEB}">
  <dimension ref="B2:L10"/>
  <sheetViews>
    <sheetView showGridLines="0" workbookViewId="0">
      <selection activeCell="F21" sqref="F21"/>
    </sheetView>
  </sheetViews>
  <sheetFormatPr baseColWidth="10" defaultRowHeight="14.25" x14ac:dyDescent="0.45"/>
  <cols>
    <col min="3" max="3" width="17.53125" bestFit="1" customWidth="1"/>
    <col min="4" max="4" width="14.53125" bestFit="1" customWidth="1"/>
    <col min="5" max="5" width="21.06640625" bestFit="1" customWidth="1"/>
    <col min="6" max="6" width="15" bestFit="1" customWidth="1"/>
  </cols>
  <sheetData>
    <row r="2" spans="2:12" ht="14.65" thickBot="1" x14ac:dyDescent="0.5">
      <c r="D2" t="s">
        <v>161</v>
      </c>
      <c r="E2" t="s">
        <v>156</v>
      </c>
      <c r="F2" t="s">
        <v>157</v>
      </c>
    </row>
    <row r="3" spans="2:12" x14ac:dyDescent="0.45">
      <c r="B3" t="s">
        <v>162</v>
      </c>
      <c r="C3" s="200" t="s">
        <v>160</v>
      </c>
      <c r="D3" s="213">
        <v>50000</v>
      </c>
      <c r="E3" s="407">
        <v>36</v>
      </c>
      <c r="F3" s="214">
        <v>1.02</v>
      </c>
      <c r="G3" t="s">
        <v>239</v>
      </c>
      <c r="H3" s="1"/>
      <c r="I3" s="1"/>
      <c r="J3" s="1"/>
      <c r="K3" s="1"/>
      <c r="L3" s="1"/>
    </row>
    <row r="4" spans="2:12" x14ac:dyDescent="0.45">
      <c r="C4" s="202" t="s">
        <v>159</v>
      </c>
      <c r="D4" s="215">
        <v>200000</v>
      </c>
      <c r="E4" s="408"/>
      <c r="F4" s="216">
        <v>1.05</v>
      </c>
      <c r="G4" t="s">
        <v>241</v>
      </c>
      <c r="H4" s="1"/>
      <c r="I4" s="1"/>
      <c r="J4" s="1"/>
      <c r="K4" s="1"/>
      <c r="L4" s="1"/>
    </row>
    <row r="5" spans="2:12" ht="14.65" thickBot="1" x14ac:dyDescent="0.5">
      <c r="C5" s="204" t="s">
        <v>158</v>
      </c>
      <c r="D5" s="217">
        <v>150000</v>
      </c>
      <c r="E5" s="409"/>
      <c r="F5" s="218">
        <v>1.05</v>
      </c>
      <c r="G5" t="s">
        <v>242</v>
      </c>
      <c r="H5" s="1"/>
      <c r="I5" s="1"/>
      <c r="J5" s="1"/>
      <c r="K5" s="1"/>
      <c r="L5" s="1"/>
    </row>
    <row r="6" spans="2:12" x14ac:dyDescent="0.45">
      <c r="B6" t="s">
        <v>163</v>
      </c>
      <c r="C6" s="200" t="s">
        <v>164</v>
      </c>
      <c r="D6" s="213">
        <v>2500</v>
      </c>
      <c r="E6" s="407">
        <v>60</v>
      </c>
      <c r="F6" s="214">
        <v>1</v>
      </c>
      <c r="G6" t="s">
        <v>240</v>
      </c>
      <c r="H6" s="1"/>
      <c r="I6" s="1"/>
      <c r="J6" s="1"/>
      <c r="K6" s="1"/>
      <c r="L6" s="1"/>
    </row>
    <row r="7" spans="2:12" ht="14.65" thickBot="1" x14ac:dyDescent="0.5">
      <c r="C7" s="204" t="s">
        <v>165</v>
      </c>
      <c r="D7" s="217">
        <v>5000</v>
      </c>
      <c r="E7" s="409"/>
      <c r="F7" s="218">
        <v>1</v>
      </c>
      <c r="H7" s="1"/>
      <c r="I7" s="1"/>
      <c r="J7" s="1"/>
      <c r="K7" s="1"/>
      <c r="L7" s="1"/>
    </row>
    <row r="8" spans="2:12" x14ac:dyDescent="0.45">
      <c r="B8" t="s">
        <v>166</v>
      </c>
      <c r="C8" t="s">
        <v>167</v>
      </c>
      <c r="D8" s="75">
        <v>3</v>
      </c>
      <c r="E8" t="s">
        <v>168</v>
      </c>
      <c r="H8" s="1"/>
      <c r="I8" s="1"/>
      <c r="J8" s="1"/>
      <c r="K8" s="1"/>
      <c r="L8" s="1"/>
    </row>
    <row r="10" spans="2:12" x14ac:dyDescent="0.45">
      <c r="C10" t="s">
        <v>188</v>
      </c>
      <c r="D10" s="67" t="s">
        <v>189</v>
      </c>
      <c r="E10" s="75">
        <v>60</v>
      </c>
    </row>
  </sheetData>
  <mergeCells count="2">
    <mergeCell ref="E3:E5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B519C-E501-445A-9B17-995571446245}">
  <dimension ref="B1:Q159"/>
  <sheetViews>
    <sheetView zoomScale="81" zoomScaleNormal="55" workbookViewId="0">
      <selection activeCell="F10" sqref="F10"/>
    </sheetView>
  </sheetViews>
  <sheetFormatPr baseColWidth="10" defaultColWidth="10.59765625" defaultRowHeight="14.25" outlineLevelRow="2" outlineLevelCol="1" x14ac:dyDescent="0.45"/>
  <cols>
    <col min="1" max="7" width="10.59765625" style="1"/>
    <col min="8" max="12" width="15.59765625" style="1" customWidth="1"/>
    <col min="13" max="14" width="15.59765625" style="1" customWidth="1" outlineLevel="1"/>
    <col min="15" max="15" width="23.9296875" style="1" hidden="1" customWidth="1" outlineLevel="1"/>
    <col min="16" max="17" width="24.265625" style="1" hidden="1" customWidth="1" outlineLevel="1"/>
    <col min="18" max="16384" width="10.59765625" style="1"/>
  </cols>
  <sheetData>
    <row r="1" spans="2:17" ht="14.65" thickBot="1" x14ac:dyDescent="0.5"/>
    <row r="2" spans="2:17" ht="16.149999999999999" thickBot="1" x14ac:dyDescent="0.55000000000000004">
      <c r="B2" s="2"/>
      <c r="C2" s="2"/>
      <c r="D2" s="2"/>
      <c r="E2" s="2"/>
      <c r="F2" s="2"/>
      <c r="G2" s="2"/>
      <c r="H2" s="323">
        <f t="shared" ref="H2:Q2" si="0">H7</f>
        <v>2021</v>
      </c>
      <c r="I2" s="324">
        <f t="shared" si="0"/>
        <v>2022</v>
      </c>
      <c r="J2" s="324">
        <f t="shared" si="0"/>
        <v>2023</v>
      </c>
      <c r="K2" s="324">
        <f t="shared" si="0"/>
        <v>2024</v>
      </c>
      <c r="L2" s="324">
        <f t="shared" si="0"/>
        <v>2025</v>
      </c>
      <c r="M2" s="324">
        <f t="shared" si="0"/>
        <v>2026</v>
      </c>
      <c r="N2" s="324">
        <f t="shared" si="0"/>
        <v>2027</v>
      </c>
      <c r="O2" s="324">
        <f t="shared" si="0"/>
        <v>2028</v>
      </c>
      <c r="P2" s="324">
        <f t="shared" si="0"/>
        <v>2029</v>
      </c>
      <c r="Q2" s="324">
        <f t="shared" si="0"/>
        <v>2030</v>
      </c>
    </row>
    <row r="3" spans="2:17" x14ac:dyDescent="0.45">
      <c r="B3" s="2"/>
      <c r="C3" s="429" t="s">
        <v>10</v>
      </c>
      <c r="D3" s="430"/>
      <c r="E3" s="430"/>
      <c r="F3" s="430"/>
      <c r="G3" s="430"/>
      <c r="H3" s="327"/>
      <c r="I3" s="328"/>
      <c r="J3" s="328"/>
      <c r="K3" s="328"/>
      <c r="L3" s="369"/>
      <c r="M3" s="328"/>
      <c r="N3" s="328"/>
      <c r="O3" s="328"/>
      <c r="P3" s="328"/>
      <c r="Q3" s="328"/>
    </row>
    <row r="4" spans="2:17" x14ac:dyDescent="0.45">
      <c r="B4" s="2"/>
      <c r="C4" s="431"/>
      <c r="D4" s="432"/>
      <c r="E4" s="432"/>
      <c r="F4" s="432"/>
      <c r="G4" s="432"/>
      <c r="H4" s="3"/>
      <c r="I4" s="4"/>
      <c r="J4" s="4"/>
      <c r="K4" s="4"/>
      <c r="L4" s="370"/>
      <c r="M4" s="4"/>
      <c r="N4" s="4"/>
      <c r="O4" s="4"/>
      <c r="P4" s="4"/>
      <c r="Q4" s="4"/>
    </row>
    <row r="5" spans="2:17" x14ac:dyDescent="0.45">
      <c r="B5" s="2"/>
      <c r="C5" s="431"/>
      <c r="D5" s="432"/>
      <c r="E5" s="432"/>
      <c r="F5" s="432"/>
      <c r="G5" s="432"/>
      <c r="H5" s="3"/>
      <c r="I5" s="4"/>
      <c r="J5" s="4"/>
      <c r="K5" s="4"/>
      <c r="L5" s="370"/>
      <c r="M5" s="4"/>
      <c r="N5" s="4"/>
      <c r="O5" s="4"/>
      <c r="P5" s="4"/>
      <c r="Q5" s="4"/>
    </row>
    <row r="6" spans="2:17" ht="16.149999999999999" thickBot="1" x14ac:dyDescent="0.55000000000000004">
      <c r="B6" s="2"/>
      <c r="C6" s="433"/>
      <c r="D6" s="434"/>
      <c r="E6" s="434"/>
      <c r="F6" s="434"/>
      <c r="G6" s="434"/>
      <c r="H6" s="5"/>
      <c r="I6" s="6"/>
      <c r="J6" s="6"/>
      <c r="K6" s="6"/>
      <c r="L6" s="371"/>
      <c r="M6" s="6"/>
      <c r="N6" s="6"/>
      <c r="O6" s="6"/>
      <c r="P6" s="6"/>
      <c r="Q6" s="6"/>
    </row>
    <row r="7" spans="2:17" ht="16.149999999999999" thickBot="1" x14ac:dyDescent="0.55000000000000004">
      <c r="B7" s="2"/>
      <c r="C7" s="7"/>
      <c r="D7" s="8"/>
      <c r="E7" s="8"/>
      <c r="F7" s="8"/>
      <c r="G7" s="9"/>
      <c r="H7" s="325">
        <v>2021</v>
      </c>
      <c r="I7" s="326">
        <v>2022</v>
      </c>
      <c r="J7" s="326">
        <v>2023</v>
      </c>
      <c r="K7" s="326">
        <v>2024</v>
      </c>
      <c r="L7" s="372">
        <v>2025</v>
      </c>
      <c r="M7" s="348">
        <v>2026</v>
      </c>
      <c r="N7" s="326">
        <v>2027</v>
      </c>
      <c r="O7" s="326">
        <v>2028</v>
      </c>
      <c r="P7" s="326">
        <v>2029</v>
      </c>
      <c r="Q7" s="326">
        <v>2030</v>
      </c>
    </row>
    <row r="8" spans="2:17" ht="15.75" x14ac:dyDescent="0.5">
      <c r="B8" s="2"/>
      <c r="C8" s="10"/>
      <c r="D8" s="11"/>
      <c r="E8" s="11"/>
      <c r="F8" s="11"/>
      <c r="G8" s="12"/>
      <c r="H8" s="13"/>
      <c r="I8" s="13"/>
      <c r="J8" s="13"/>
      <c r="K8" s="13"/>
      <c r="L8" s="373"/>
      <c r="M8" s="349"/>
      <c r="N8" s="13"/>
      <c r="O8" s="13"/>
      <c r="P8" s="13"/>
      <c r="Q8" s="13"/>
    </row>
    <row r="9" spans="2:17" ht="15.75" outlineLevel="1" x14ac:dyDescent="0.5">
      <c r="B9" s="14"/>
      <c r="C9" s="15" t="s">
        <v>65</v>
      </c>
      <c r="D9" s="14"/>
      <c r="E9" s="16"/>
      <c r="F9" s="14"/>
      <c r="G9" s="17"/>
      <c r="H9" s="18">
        <f>'Hypothèses de revenus'!C13*'Hypothèses de revenus'!$C$4</f>
        <v>0</v>
      </c>
      <c r="I9" s="18">
        <f>'Hypothèses de revenus'!D13*'Hypothèses de revenus'!$C$4</f>
        <v>0</v>
      </c>
      <c r="J9" s="18">
        <f>'Hypothèses de revenus'!E13*'Hypothèses de revenus'!$C$4</f>
        <v>720000</v>
      </c>
      <c r="K9" s="18">
        <f>'Hypothèses de revenus'!F13*'Hypothèses de revenus'!$C$4</f>
        <v>2640000</v>
      </c>
      <c r="L9" s="19">
        <f>'Hypothèses de revenus'!G13*'Hypothèses de revenus'!$C$4</f>
        <v>5760000</v>
      </c>
      <c r="M9" s="350">
        <f>'Hypothèses de revenus'!H13*'Hypothèses de revenus'!$C$4</f>
        <v>9600000</v>
      </c>
      <c r="N9" s="18">
        <f>'Hypothèses de revenus'!I13*'Hypothèses de revenus'!$C$4</f>
        <v>13056000</v>
      </c>
      <c r="O9" s="18">
        <f>'Hypothèses de revenus'!J13*'Hypothèses de revenus'!$C$4</f>
        <v>15936000</v>
      </c>
      <c r="P9" s="18">
        <f>'Hypothèses de revenus'!K13*'Hypothèses de revenus'!$C$4</f>
        <v>17856000</v>
      </c>
      <c r="Q9" s="18">
        <f>'Hypothèses de revenus'!L13*'Hypothèses de revenus'!$C$4</f>
        <v>19056000</v>
      </c>
    </row>
    <row r="10" spans="2:17" ht="15.75" outlineLevel="1" x14ac:dyDescent="0.5">
      <c r="B10" s="14"/>
      <c r="C10" s="15" t="s">
        <v>306</v>
      </c>
      <c r="D10" s="14"/>
      <c r="E10" s="16"/>
      <c r="F10" s="14"/>
      <c r="G10" s="17"/>
      <c r="H10" s="18">
        <f>'Hypothèses de revenus'!C14*'Hypothèses de revenus'!$C$7</f>
        <v>0</v>
      </c>
      <c r="I10" s="18">
        <f>'Hypothèses de revenus'!D14*'Hypothèses de revenus'!$C$7</f>
        <v>0</v>
      </c>
      <c r="J10" s="18">
        <f>'Hypothèses de revenus'!E14*'Hypothèses de revenus'!$C$7</f>
        <v>300000</v>
      </c>
      <c r="K10" s="18">
        <f>'Hypothèses de revenus'!F14*'Hypothèses de revenus'!$C$7</f>
        <v>1100000</v>
      </c>
      <c r="L10" s="19">
        <f>'Hypothèses de revenus'!G14*'Hypothèses de revenus'!$C$7</f>
        <v>2400000</v>
      </c>
      <c r="M10" s="350">
        <f>'Hypothèses de revenus'!H14*'Hypothèses de revenus'!$C$7</f>
        <v>4000000.0000000005</v>
      </c>
      <c r="N10" s="18">
        <f>'Hypothèses de revenus'!I14*'Hypothèses de revenus'!$C$7</f>
        <v>5440000</v>
      </c>
      <c r="O10" s="18">
        <f>'Hypothèses de revenus'!J14*'Hypothèses de revenus'!$C$7</f>
        <v>6640000</v>
      </c>
      <c r="P10" s="18">
        <f>'Hypothèses de revenus'!K14*'Hypothèses de revenus'!$C$7</f>
        <v>7440000</v>
      </c>
      <c r="Q10" s="18">
        <f>'Hypothèses de revenus'!L14*'Hypothèses de revenus'!$C$7</f>
        <v>7940000.0000000009</v>
      </c>
    </row>
    <row r="11" spans="2:17" ht="16.149999999999999" outlineLevel="1" thickBot="1" x14ac:dyDescent="0.55000000000000004">
      <c r="B11" s="14"/>
      <c r="C11" s="15"/>
      <c r="D11" s="14"/>
      <c r="E11" s="16"/>
      <c r="F11" s="14"/>
      <c r="G11" s="17"/>
      <c r="H11" s="18"/>
      <c r="I11" s="18"/>
      <c r="J11" s="18"/>
      <c r="K11" s="18"/>
      <c r="L11" s="19"/>
      <c r="M11" s="350"/>
      <c r="N11" s="18"/>
      <c r="O11" s="18"/>
      <c r="P11" s="18"/>
      <c r="Q11" s="18"/>
    </row>
    <row r="12" spans="2:17" ht="16.149999999999999" thickBot="1" x14ac:dyDescent="0.55000000000000004">
      <c r="B12" s="14"/>
      <c r="C12" s="87"/>
      <c r="D12" s="88"/>
      <c r="E12" s="89"/>
      <c r="F12" s="88"/>
      <c r="G12" s="89" t="s">
        <v>73</v>
      </c>
      <c r="H12" s="90">
        <f t="shared" ref="H12:Q12" si="1">H9+H10</f>
        <v>0</v>
      </c>
      <c r="I12" s="90">
        <f t="shared" si="1"/>
        <v>0</v>
      </c>
      <c r="J12" s="90">
        <f t="shared" si="1"/>
        <v>1020000</v>
      </c>
      <c r="K12" s="90">
        <f t="shared" si="1"/>
        <v>3740000</v>
      </c>
      <c r="L12" s="374">
        <f t="shared" si="1"/>
        <v>8160000</v>
      </c>
      <c r="M12" s="351">
        <f t="shared" si="1"/>
        <v>13600000</v>
      </c>
      <c r="N12" s="90">
        <f t="shared" si="1"/>
        <v>18496000</v>
      </c>
      <c r="O12" s="90">
        <f t="shared" si="1"/>
        <v>22576000</v>
      </c>
      <c r="P12" s="90">
        <f t="shared" si="1"/>
        <v>25296000</v>
      </c>
      <c r="Q12" s="90">
        <f t="shared" si="1"/>
        <v>26996000</v>
      </c>
    </row>
    <row r="13" spans="2:17" ht="15.75" x14ac:dyDescent="0.5">
      <c r="B13" s="14"/>
      <c r="C13" s="209"/>
      <c r="D13" s="57"/>
      <c r="E13" s="210"/>
      <c r="F13" s="57"/>
      <c r="G13" s="211"/>
      <c r="H13" s="77"/>
      <c r="I13" s="77"/>
      <c r="J13" s="77"/>
      <c r="K13" s="77"/>
      <c r="L13" s="40"/>
      <c r="M13" s="352"/>
      <c r="N13" s="77"/>
      <c r="O13" s="77"/>
      <c r="P13" s="77"/>
      <c r="Q13" s="77"/>
    </row>
    <row r="14" spans="2:17" ht="15.75" x14ac:dyDescent="0.5">
      <c r="B14" s="14"/>
      <c r="C14" s="212" t="s">
        <v>243</v>
      </c>
      <c r="D14" s="14"/>
      <c r="E14" s="16"/>
      <c r="F14" s="14"/>
      <c r="G14" s="17"/>
      <c r="H14" s="18">
        <f>'Calcul du CIR'!D27*(1-'Calcul du CIR'!D32)</f>
        <v>0</v>
      </c>
      <c r="I14" s="18">
        <f>'Calcul du CIR'!E27*(1-'Calcul du CIR'!E32)</f>
        <v>150930.432</v>
      </c>
      <c r="J14" s="18">
        <f>'Calcul du CIR'!F27*(1-'Calcul du CIR'!F32)</f>
        <v>475860.28799999994</v>
      </c>
      <c r="K14" s="18">
        <f>'Calcul du CIR'!G27*(1-'Calcul du CIR'!G32)</f>
        <v>633302.20799999998</v>
      </c>
      <c r="L14" s="19">
        <f>'Calcul du CIR'!H27*(1-'Calcul du CIR'!H32)</f>
        <v>905201.74080000003</v>
      </c>
      <c r="M14" s="350">
        <f>'Calcul du CIR'!I27*(1-'Calcul du CIR'!I32)</f>
        <v>1000260.432</v>
      </c>
      <c r="N14" s="18">
        <f>'Calcul du CIR'!J27*(1-'Calcul du CIR'!J32)</f>
        <v>1103266.0080000001</v>
      </c>
      <c r="O14" s="18">
        <f>'Calcul du CIR'!K27*(1-'Calcul du CIR'!K32)</f>
        <v>1185836.0471999999</v>
      </c>
      <c r="P14" s="18">
        <f>'Calcul du CIR'!L27*(1-'Calcul du CIR'!L32)</f>
        <v>1206078.3360000001</v>
      </c>
      <c r="Q14" s="18">
        <f>'Calcul du CIR'!M27*(1-'Calcul du CIR'!M32)</f>
        <v>1245623.4648</v>
      </c>
    </row>
    <row r="15" spans="2:17" ht="15.75" x14ac:dyDescent="0.5">
      <c r="B15" s="14"/>
      <c r="C15" s="212" t="s">
        <v>185</v>
      </c>
      <c r="D15" s="14"/>
      <c r="E15" s="16"/>
      <c r="F15" s="14"/>
      <c r="G15" s="17"/>
      <c r="H15" s="18"/>
      <c r="I15" s="18">
        <f>'Hypothèses de financement'!E4</f>
        <v>250000</v>
      </c>
      <c r="J15" s="18"/>
      <c r="K15" s="18">
        <f>'Calcul du CIR'!G28</f>
        <v>0</v>
      </c>
      <c r="L15" s="19">
        <f>'Calcul du CIR'!H28</f>
        <v>0</v>
      </c>
      <c r="M15" s="350">
        <f>'Calcul du CIR'!I28</f>
        <v>0</v>
      </c>
      <c r="N15" s="18">
        <f>'Calcul du CIR'!J28</f>
        <v>0</v>
      </c>
      <c r="O15" s="18">
        <f>'Calcul du CIR'!K28</f>
        <v>0</v>
      </c>
      <c r="P15" s="18">
        <f>'Calcul du CIR'!L28</f>
        <v>0</v>
      </c>
      <c r="Q15" s="18">
        <f>'Calcul du CIR'!M28</f>
        <v>0</v>
      </c>
    </row>
    <row r="16" spans="2:17" ht="15.75" x14ac:dyDescent="0.5">
      <c r="B16" s="14"/>
      <c r="C16" s="70"/>
      <c r="D16" s="14"/>
      <c r="E16" s="16"/>
      <c r="F16" s="14"/>
      <c r="G16" s="17" t="s">
        <v>186</v>
      </c>
      <c r="H16" s="77">
        <f t="shared" ref="H16:Q16" si="2">H14+H15</f>
        <v>0</v>
      </c>
      <c r="I16" s="77">
        <f>I14+I15</f>
        <v>400930.43200000003</v>
      </c>
      <c r="J16" s="77">
        <f t="shared" si="2"/>
        <v>475860.28799999994</v>
      </c>
      <c r="K16" s="77">
        <f t="shared" si="2"/>
        <v>633302.20799999998</v>
      </c>
      <c r="L16" s="40">
        <f t="shared" si="2"/>
        <v>905201.74080000003</v>
      </c>
      <c r="M16" s="352">
        <f t="shared" si="2"/>
        <v>1000260.432</v>
      </c>
      <c r="N16" s="77">
        <f t="shared" si="2"/>
        <v>1103266.0080000001</v>
      </c>
      <c r="O16" s="77">
        <f t="shared" si="2"/>
        <v>1185836.0471999999</v>
      </c>
      <c r="P16" s="77">
        <f t="shared" si="2"/>
        <v>1206078.3360000001</v>
      </c>
      <c r="Q16" s="77">
        <f t="shared" si="2"/>
        <v>1245623.4648</v>
      </c>
    </row>
    <row r="17" spans="2:17" ht="16.149999999999999" thickBot="1" x14ac:dyDescent="0.55000000000000004">
      <c r="B17" s="20"/>
      <c r="C17" s="23"/>
      <c r="D17" s="24"/>
      <c r="E17" s="25"/>
      <c r="F17" s="24"/>
      <c r="G17" s="26"/>
      <c r="H17" s="27"/>
      <c r="I17" s="27"/>
      <c r="J17" s="27"/>
      <c r="K17" s="27"/>
      <c r="L17" s="28"/>
      <c r="M17" s="353"/>
      <c r="N17" s="27"/>
      <c r="O17" s="27"/>
      <c r="P17" s="27"/>
      <c r="Q17" s="27"/>
    </row>
    <row r="18" spans="2:17" ht="16.149999999999999" thickBot="1" x14ac:dyDescent="0.55000000000000004">
      <c r="B18" s="29"/>
      <c r="C18" s="424" t="s">
        <v>11</v>
      </c>
      <c r="D18" s="425"/>
      <c r="E18" s="425"/>
      <c r="F18" s="425"/>
      <c r="G18" s="425"/>
      <c r="H18" s="30">
        <f t="shared" ref="H18:Q18" si="3">H12+H16</f>
        <v>0</v>
      </c>
      <c r="I18" s="31">
        <f t="shared" si="3"/>
        <v>400930.43200000003</v>
      </c>
      <c r="J18" s="31">
        <f t="shared" si="3"/>
        <v>1495860.2879999999</v>
      </c>
      <c r="K18" s="31">
        <f t="shared" si="3"/>
        <v>4373302.2079999996</v>
      </c>
      <c r="L18" s="375">
        <f t="shared" si="3"/>
        <v>9065201.7408000007</v>
      </c>
      <c r="M18" s="30">
        <f t="shared" si="3"/>
        <v>14600260.432</v>
      </c>
      <c r="N18" s="31">
        <f t="shared" si="3"/>
        <v>19599266.008000001</v>
      </c>
      <c r="O18" s="31">
        <f t="shared" si="3"/>
        <v>23761836.047200002</v>
      </c>
      <c r="P18" s="31">
        <f t="shared" si="3"/>
        <v>26502078.335999999</v>
      </c>
      <c r="Q18" s="31">
        <f t="shared" si="3"/>
        <v>28241623.4648</v>
      </c>
    </row>
    <row r="19" spans="2:17" ht="15.75" x14ac:dyDescent="0.5">
      <c r="B19" s="20"/>
      <c r="C19" s="32"/>
      <c r="D19" s="33"/>
      <c r="E19" s="33"/>
      <c r="F19" s="33"/>
      <c r="G19" s="34"/>
      <c r="H19" s="35"/>
      <c r="I19" s="35"/>
      <c r="J19" s="36"/>
      <c r="K19" s="35"/>
      <c r="L19" s="35"/>
      <c r="M19" s="36"/>
      <c r="N19" s="35"/>
      <c r="O19" s="35"/>
      <c r="P19" s="36"/>
      <c r="Q19" s="35"/>
    </row>
    <row r="20" spans="2:17" ht="15.75" outlineLevel="1" x14ac:dyDescent="0.5">
      <c r="B20" s="20"/>
      <c r="C20" s="15" t="s">
        <v>70</v>
      </c>
      <c r="D20" s="37"/>
      <c r="E20" s="37"/>
      <c r="F20" s="37"/>
      <c r="G20" s="38"/>
      <c r="H20" s="19">
        <f>'Hypothèses de coûts'!D8*H12</f>
        <v>0</v>
      </c>
      <c r="I20" s="19">
        <f>'Hypothèses de coûts'!E8*I12</f>
        <v>0</v>
      </c>
      <c r="J20" s="20">
        <f>'Hypothèses de coûts'!F8*J12</f>
        <v>102000</v>
      </c>
      <c r="K20" s="19">
        <f>'Hypothèses de coûts'!G8*K12</f>
        <v>336600</v>
      </c>
      <c r="L20" s="19">
        <f>'Hypothèses de coûts'!H8*L12</f>
        <v>652800</v>
      </c>
      <c r="M20" s="20">
        <f>'Hypothèses de coûts'!I8*M12</f>
        <v>952000.00000000012</v>
      </c>
      <c r="N20" s="19">
        <f>'Hypothèses de coûts'!J8*N12</f>
        <v>1109760</v>
      </c>
      <c r="O20" s="19">
        <f>'Hypothèses de coûts'!K8*O12</f>
        <v>1128800</v>
      </c>
      <c r="P20" s="20">
        <f>'Hypothèses de coûts'!L8*P12</f>
        <v>1264800</v>
      </c>
      <c r="Q20" s="19">
        <f>'Hypothèses de coûts'!M8*Q12</f>
        <v>1349800</v>
      </c>
    </row>
    <row r="21" spans="2:17" ht="15.75" outlineLevel="1" x14ac:dyDescent="0.5">
      <c r="B21" s="20"/>
      <c r="C21" s="15" t="s">
        <v>76</v>
      </c>
      <c r="D21" s="37"/>
      <c r="E21" s="37"/>
      <c r="F21" s="37"/>
      <c r="G21" s="38"/>
      <c r="H21" s="19">
        <f>H12*'Hypothèses de coûts'!D11</f>
        <v>0</v>
      </c>
      <c r="I21" s="19">
        <f>I12*'Hypothèses de coûts'!E11</f>
        <v>0</v>
      </c>
      <c r="J21" s="19">
        <f>J12*'Hypothèses de coûts'!F11</f>
        <v>0</v>
      </c>
      <c r="K21" s="19">
        <f>K12*'Hypothèses de coûts'!G11</f>
        <v>0</v>
      </c>
      <c r="L21" s="19">
        <f>L12*'Hypothèses de coûts'!H11</f>
        <v>0</v>
      </c>
      <c r="M21" s="354">
        <f>M12*'Hypothèses de coûts'!I11</f>
        <v>0</v>
      </c>
      <c r="N21" s="19">
        <f>N12*'Hypothèses de coûts'!J11</f>
        <v>0</v>
      </c>
      <c r="O21" s="19">
        <f>O12*'Hypothèses de coûts'!K11</f>
        <v>0</v>
      </c>
      <c r="P21" s="19">
        <f>P12*'Hypothèses de coûts'!L11</f>
        <v>0</v>
      </c>
      <c r="Q21" s="19">
        <f>Q12*'Hypothèses de coûts'!M11</f>
        <v>0</v>
      </c>
    </row>
    <row r="22" spans="2:17" ht="15.75" outlineLevel="1" x14ac:dyDescent="0.5">
      <c r="B22" s="20"/>
      <c r="C22" s="15" t="s">
        <v>71</v>
      </c>
      <c r="D22" s="37"/>
      <c r="E22" s="37"/>
      <c r="F22" s="37"/>
      <c r="G22" s="38"/>
      <c r="H22" s="19">
        <f>'Hypothèses de coûts'!D9*H12</f>
        <v>0</v>
      </c>
      <c r="I22" s="19">
        <f>'Hypothèses de coûts'!E9*I12</f>
        <v>0</v>
      </c>
      <c r="J22" s="19">
        <f>'Hypothèses de coûts'!F9*J12</f>
        <v>20400</v>
      </c>
      <c r="K22" s="19">
        <f>'Hypothèses de coûts'!G9*K12</f>
        <v>74800</v>
      </c>
      <c r="L22" s="19">
        <f>'Hypothèses de coûts'!H9*L12</f>
        <v>163200</v>
      </c>
      <c r="M22" s="354">
        <f>'Hypothèses de coûts'!I9*M12</f>
        <v>244799.99999999997</v>
      </c>
      <c r="N22" s="19">
        <f>'Hypothèses de coûts'!J9*N12</f>
        <v>295936</v>
      </c>
      <c r="O22" s="19">
        <f>'Hypothèses de coûts'!K9*O12</f>
        <v>338640</v>
      </c>
      <c r="P22" s="19">
        <f>'Hypothèses de coûts'!L9*P12</f>
        <v>379440</v>
      </c>
      <c r="Q22" s="19">
        <f>'Hypothèses de coûts'!M9*Q12</f>
        <v>404940</v>
      </c>
    </row>
    <row r="23" spans="2:17" ht="15.75" outlineLevel="1" x14ac:dyDescent="0.5">
      <c r="B23" s="20"/>
      <c r="C23" s="15" t="s">
        <v>94</v>
      </c>
      <c r="D23" s="20"/>
      <c r="E23" s="21"/>
      <c r="F23" s="20"/>
      <c r="G23" s="22"/>
      <c r="H23" s="19">
        <f>'Hypothèses de revenus'!C21*'Hypothèses de coûts'!D10/1000</f>
        <v>0</v>
      </c>
      <c r="I23" s="19">
        <f>'Hypothèses de revenus'!D21*'Hypothèses de coûts'!E10/1000</f>
        <v>0</v>
      </c>
      <c r="J23" s="19">
        <f>'Hypothèses de revenus'!E21*'Hypothèses de coûts'!F10/1000</f>
        <v>13000</v>
      </c>
      <c r="K23" s="19">
        <f>'Hypothèses de revenus'!F21*'Hypothèses de coûts'!G10/1000</f>
        <v>47666.666666666657</v>
      </c>
      <c r="L23" s="19">
        <f>'Hypothèses de revenus'!G21*'Hypothèses de coûts'!H10/1000</f>
        <v>104000</v>
      </c>
      <c r="M23" s="354">
        <f>'Hypothèses de revenus'!H21*'Hypothèses de coûts'!I10/1000</f>
        <v>190666.66666666669</v>
      </c>
      <c r="N23" s="19">
        <f>'Hypothèses de revenus'!I21*'Hypothèses de coûts'!J10/1000</f>
        <v>282880</v>
      </c>
      <c r="O23" s="19">
        <f>'Hypothèses de revenus'!J21*'Hypothèses de coûts'!K10/1000</f>
        <v>374053.33333333337</v>
      </c>
      <c r="P23" s="19">
        <f>'Hypothèses de revenus'!K21*'Hypothèses de coûts'!L10/1000</f>
        <v>451360</v>
      </c>
      <c r="Q23" s="19">
        <f>'Hypothèses de revenus'!L21*'Hypothèses de coûts'!M10/1000</f>
        <v>516100.00000000006</v>
      </c>
    </row>
    <row r="24" spans="2:17" ht="16.149999999999999" outlineLevel="1" thickBot="1" x14ac:dyDescent="0.55000000000000004">
      <c r="B24" s="20"/>
      <c r="C24" s="39"/>
      <c r="D24" s="20"/>
      <c r="E24" s="21"/>
      <c r="F24" s="20"/>
      <c r="G24" s="22"/>
      <c r="H24" s="40"/>
      <c r="I24" s="40"/>
      <c r="J24" s="14"/>
      <c r="K24" s="40"/>
      <c r="L24" s="40"/>
      <c r="M24" s="14"/>
      <c r="N24" s="40"/>
      <c r="O24" s="40"/>
      <c r="P24" s="14"/>
      <c r="Q24" s="40"/>
    </row>
    <row r="25" spans="2:17" ht="16.149999999999999" thickBot="1" x14ac:dyDescent="0.55000000000000004">
      <c r="B25" s="20"/>
      <c r="C25" s="87"/>
      <c r="D25" s="88"/>
      <c r="E25" s="89"/>
      <c r="F25" s="88"/>
      <c r="G25" s="89" t="s">
        <v>12</v>
      </c>
      <c r="H25" s="90">
        <f t="shared" ref="H25:Q25" si="4">SUM(H20:H23)</f>
        <v>0</v>
      </c>
      <c r="I25" s="90">
        <f t="shared" si="4"/>
        <v>0</v>
      </c>
      <c r="J25" s="90">
        <f t="shared" si="4"/>
        <v>135400</v>
      </c>
      <c r="K25" s="90">
        <f t="shared" si="4"/>
        <v>459066.66666666663</v>
      </c>
      <c r="L25" s="374">
        <f t="shared" si="4"/>
        <v>920000</v>
      </c>
      <c r="M25" s="351">
        <f t="shared" si="4"/>
        <v>1387466.6666666667</v>
      </c>
      <c r="N25" s="90">
        <f t="shared" si="4"/>
        <v>1688576</v>
      </c>
      <c r="O25" s="90">
        <f t="shared" si="4"/>
        <v>1841493.3333333335</v>
      </c>
      <c r="P25" s="90">
        <f t="shared" si="4"/>
        <v>2095600</v>
      </c>
      <c r="Q25" s="90">
        <f t="shared" si="4"/>
        <v>2270840</v>
      </c>
    </row>
    <row r="26" spans="2:17" ht="16.149999999999999" thickBot="1" x14ac:dyDescent="0.55000000000000004">
      <c r="B26" s="20"/>
      <c r="C26" s="41"/>
      <c r="D26" s="24"/>
      <c r="E26" s="25"/>
      <c r="F26" s="24"/>
      <c r="G26" s="26"/>
      <c r="H26" s="42"/>
      <c r="I26" s="42"/>
      <c r="J26" s="43"/>
      <c r="K26" s="42"/>
      <c r="L26" s="42"/>
      <c r="M26" s="43"/>
      <c r="N26" s="42"/>
      <c r="O26" s="42"/>
      <c r="P26" s="43"/>
      <c r="Q26" s="42"/>
    </row>
    <row r="27" spans="2:17" ht="16.149999999999999" thickBot="1" x14ac:dyDescent="0.55000000000000004">
      <c r="B27" s="44"/>
      <c r="C27" s="424" t="s">
        <v>13</v>
      </c>
      <c r="D27" s="425"/>
      <c r="E27" s="425"/>
      <c r="F27" s="425"/>
      <c r="G27" s="425"/>
      <c r="H27" s="30">
        <f t="shared" ref="H27:Q27" si="5">H18-H25</f>
        <v>0</v>
      </c>
      <c r="I27" s="31">
        <f t="shared" si="5"/>
        <v>400930.43200000003</v>
      </c>
      <c r="J27" s="31">
        <f t="shared" si="5"/>
        <v>1360460.2879999999</v>
      </c>
      <c r="K27" s="31">
        <f t="shared" si="5"/>
        <v>3914235.5413333331</v>
      </c>
      <c r="L27" s="375">
        <f t="shared" si="5"/>
        <v>8145201.7408000007</v>
      </c>
      <c r="M27" s="30">
        <f t="shared" si="5"/>
        <v>13212793.765333334</v>
      </c>
      <c r="N27" s="31">
        <f t="shared" si="5"/>
        <v>17910690.008000001</v>
      </c>
      <c r="O27" s="31">
        <f t="shared" si="5"/>
        <v>21920342.71386667</v>
      </c>
      <c r="P27" s="31">
        <f t="shared" si="5"/>
        <v>24406478.335999999</v>
      </c>
      <c r="Q27" s="31">
        <f t="shared" si="5"/>
        <v>25970783.4648</v>
      </c>
    </row>
    <row r="28" spans="2:17" ht="15.75" x14ac:dyDescent="0.5">
      <c r="B28" s="44"/>
      <c r="C28" s="45"/>
      <c r="D28" s="46"/>
      <c r="E28" s="46"/>
      <c r="F28" s="44"/>
      <c r="G28" s="47"/>
      <c r="H28" s="48"/>
      <c r="I28" s="49"/>
      <c r="J28" s="48"/>
      <c r="K28" s="49"/>
      <c r="L28" s="48"/>
      <c r="M28" s="355"/>
      <c r="N28" s="49"/>
      <c r="O28" s="49"/>
      <c r="P28" s="48"/>
      <c r="Q28" s="49"/>
    </row>
    <row r="29" spans="2:17" ht="15.75" hidden="1" outlineLevel="1" x14ac:dyDescent="0.5">
      <c r="B29" s="14"/>
      <c r="C29" s="15" t="s">
        <v>14</v>
      </c>
      <c r="D29" s="20"/>
      <c r="E29" s="21"/>
      <c r="F29" s="20"/>
      <c r="G29" s="21"/>
      <c r="H29" s="19">
        <f>'Hypothèses de coûts'!D5*12</f>
        <v>30000</v>
      </c>
      <c r="I29" s="19">
        <f>'Hypothèses de coûts'!E5*12</f>
        <v>42000</v>
      </c>
      <c r="J29" s="19">
        <f>'Hypothèses de coûts'!F5*12</f>
        <v>60000</v>
      </c>
      <c r="K29" s="15">
        <f>'Hypothèses de coûts'!G5*12</f>
        <v>60000</v>
      </c>
      <c r="L29" s="19">
        <f>'Hypothèses de coûts'!H5*12</f>
        <v>60000</v>
      </c>
      <c r="M29" s="354">
        <f>'Hypothèses de coûts'!I5*12</f>
        <v>60000</v>
      </c>
      <c r="N29" s="19">
        <f>'Hypothèses de coûts'!J5*12</f>
        <v>60000</v>
      </c>
      <c r="O29" s="19">
        <f>'Hypothèses de coûts'!K5*12</f>
        <v>60000</v>
      </c>
      <c r="P29" s="19">
        <f>'Hypothèses de coûts'!L5*12</f>
        <v>60000</v>
      </c>
      <c r="Q29" s="19">
        <f>'Hypothèses de coûts'!M5*12</f>
        <v>60000</v>
      </c>
    </row>
    <row r="30" spans="2:17" ht="15.75" hidden="1" outlineLevel="1" x14ac:dyDescent="0.5">
      <c r="B30" s="14"/>
      <c r="C30" s="15" t="s">
        <v>15</v>
      </c>
      <c r="D30" s="376"/>
      <c r="E30" s="21"/>
      <c r="F30" s="20"/>
      <c r="G30" s="21"/>
      <c r="H30" s="19">
        <f>'Hypothèses de coûts'!D6*'Hypothèses de coûts'!D5</f>
        <v>2500</v>
      </c>
      <c r="I30" s="19">
        <f>'Hypothèses de coûts'!E6*'Hypothèses de coûts'!E5</f>
        <v>3500</v>
      </c>
      <c r="J30" s="19">
        <f>'Hypothèses de coûts'!F6*'Hypothèses de coûts'!F5</f>
        <v>5000</v>
      </c>
      <c r="K30" s="15">
        <f>'Hypothèses de coûts'!G6*'Hypothèses de coûts'!G5</f>
        <v>5000</v>
      </c>
      <c r="L30" s="19">
        <f>'Hypothèses de coûts'!H6*'Hypothèses de coûts'!H5</f>
        <v>5000</v>
      </c>
      <c r="M30" s="354">
        <f>'Hypothèses de coûts'!I6*'Hypothèses de coûts'!I5</f>
        <v>5000</v>
      </c>
      <c r="N30" s="19">
        <f>'Hypothèses de coûts'!J6*'Hypothèses de coûts'!J5</f>
        <v>5000</v>
      </c>
      <c r="O30" s="19">
        <f>'Hypothèses de coûts'!K6*'Hypothèses de coûts'!K5</f>
        <v>5000</v>
      </c>
      <c r="P30" s="19">
        <f>'Hypothèses de coûts'!L6*'Hypothèses de coûts'!L5</f>
        <v>5000</v>
      </c>
      <c r="Q30" s="19">
        <f>'Hypothèses de coûts'!M6*'Hypothèses de coûts'!M5</f>
        <v>5000</v>
      </c>
    </row>
    <row r="31" spans="2:17" ht="15.75" hidden="1" outlineLevel="1" x14ac:dyDescent="0.5">
      <c r="B31" s="14"/>
      <c r="C31" s="15" t="s">
        <v>16</v>
      </c>
      <c r="D31" s="376"/>
      <c r="E31" s="21"/>
      <c r="F31" s="20"/>
      <c r="G31" s="21"/>
      <c r="H31" s="19">
        <f>'Hypothèses de coûts'!D7*'Hypothèses de coûts'!D5*12</f>
        <v>3000</v>
      </c>
      <c r="I31" s="19">
        <f>'Hypothèses de coûts'!E7*'Hypothèses de coûts'!E5*12</f>
        <v>4200</v>
      </c>
      <c r="J31" s="19">
        <f>'Hypothèses de coûts'!F7*'Hypothèses de coûts'!F5*12</f>
        <v>6000</v>
      </c>
      <c r="K31" s="15">
        <f>'Hypothèses de coûts'!G7*'Hypothèses de coûts'!G5*12</f>
        <v>6000</v>
      </c>
      <c r="L31" s="19">
        <f>'Hypothèses de coûts'!H7*'Hypothèses de coûts'!H5*12</f>
        <v>6000</v>
      </c>
      <c r="M31" s="354">
        <f>'Hypothèses de coûts'!I7*'Hypothèses de coûts'!I5*12</f>
        <v>6000</v>
      </c>
      <c r="N31" s="19">
        <f>'Hypothèses de coûts'!J7*'Hypothèses de coûts'!J5*12</f>
        <v>6000</v>
      </c>
      <c r="O31" s="19">
        <f>'Hypothèses de coûts'!K7*'Hypothèses de coûts'!K5*12</f>
        <v>6000</v>
      </c>
      <c r="P31" s="19">
        <f>'Hypothèses de coûts'!L7*'Hypothèses de coûts'!L5*12</f>
        <v>6000</v>
      </c>
      <c r="Q31" s="19">
        <f>'Hypothèses de coûts'!M7*'Hypothèses de coûts'!M5*12</f>
        <v>6000</v>
      </c>
    </row>
    <row r="32" spans="2:17" ht="15.75" hidden="1" outlineLevel="1" x14ac:dyDescent="0.5">
      <c r="B32" s="14"/>
      <c r="C32" s="15"/>
      <c r="D32" s="376"/>
      <c r="E32" s="21"/>
      <c r="F32" s="20"/>
      <c r="G32" s="21"/>
      <c r="H32" s="19"/>
      <c r="I32" s="20"/>
      <c r="J32" s="19"/>
      <c r="K32" s="20"/>
      <c r="L32" s="19"/>
      <c r="M32" s="354"/>
      <c r="N32" s="20"/>
      <c r="O32" s="20"/>
      <c r="P32" s="19"/>
      <c r="Q32" s="20"/>
    </row>
    <row r="33" spans="2:17" ht="15.75" collapsed="1" x14ac:dyDescent="0.5">
      <c r="B33" s="20"/>
      <c r="C33" s="39"/>
      <c r="D33" s="20"/>
      <c r="E33" s="21"/>
      <c r="F33" s="20"/>
      <c r="G33" s="16" t="s">
        <v>17</v>
      </c>
      <c r="H33" s="40"/>
      <c r="I33" s="40">
        <f t="shared" ref="I33:Q33" si="6">SUM(I29:I31)</f>
        <v>49700</v>
      </c>
      <c r="J33" s="40">
        <f t="shared" si="6"/>
        <v>71000</v>
      </c>
      <c r="K33" s="39">
        <f t="shared" si="6"/>
        <v>71000</v>
      </c>
      <c r="L33" s="40">
        <f t="shared" si="6"/>
        <v>71000</v>
      </c>
      <c r="M33" s="356">
        <f t="shared" si="6"/>
        <v>71000</v>
      </c>
      <c r="N33" s="40">
        <f t="shared" si="6"/>
        <v>71000</v>
      </c>
      <c r="O33" s="40">
        <f t="shared" si="6"/>
        <v>71000</v>
      </c>
      <c r="P33" s="40">
        <f t="shared" si="6"/>
        <v>71000</v>
      </c>
      <c r="Q33" s="40">
        <f t="shared" si="6"/>
        <v>71000</v>
      </c>
    </row>
    <row r="34" spans="2:17" ht="15.75" x14ac:dyDescent="0.5">
      <c r="B34" s="14"/>
      <c r="C34" s="15"/>
      <c r="D34" s="376"/>
      <c r="E34" s="21"/>
      <c r="F34" s="20"/>
      <c r="G34" s="21"/>
      <c r="H34" s="19"/>
      <c r="I34" s="20"/>
      <c r="J34" s="19"/>
      <c r="K34" s="20"/>
      <c r="L34" s="19"/>
      <c r="M34" s="354"/>
      <c r="N34" s="20"/>
      <c r="O34" s="20"/>
      <c r="P34" s="19"/>
      <c r="Q34" s="20"/>
    </row>
    <row r="35" spans="2:17" ht="15.75" outlineLevel="1" x14ac:dyDescent="0.5">
      <c r="B35" s="14"/>
      <c r="C35" s="15" t="str">
        <f>'Hypothèses de recrutement'!C5</f>
        <v>Ingénieur 1</v>
      </c>
      <c r="D35" s="20"/>
      <c r="E35" s="21"/>
      <c r="F35" s="20"/>
      <c r="G35" s="21"/>
      <c r="H35" s="19">
        <f>'Hypothèses de recrutement'!G5</f>
        <v>0</v>
      </c>
      <c r="I35" s="19">
        <f>'Hypothèses de recrutement'!H5</f>
        <v>48719</v>
      </c>
      <c r="J35" s="19">
        <f>'Hypothèses de recrutement'!I5</f>
        <v>54696</v>
      </c>
      <c r="K35" s="19">
        <f>'Hypothèses de recrutement'!J5</f>
        <v>56244.000000000007</v>
      </c>
      <c r="L35" s="19">
        <f>'Hypothèses de recrutement'!K5</f>
        <v>57792.000000000007</v>
      </c>
      <c r="M35" s="19">
        <f>'Hypothèses de recrutement'!L5</f>
        <v>59339.999999999993</v>
      </c>
      <c r="N35" s="19">
        <f>'Hypothèses de recrutement'!M5</f>
        <v>60371.999999999993</v>
      </c>
      <c r="O35" s="19">
        <f>'Hypothèses de recrutement'!N5</f>
        <v>61404</v>
      </c>
      <c r="P35" s="19">
        <f>'Hypothèses de recrutement'!O5</f>
        <v>61920</v>
      </c>
      <c r="Q35" s="19">
        <f>'Hypothèses de recrutement'!P5</f>
        <v>62436</v>
      </c>
    </row>
    <row r="36" spans="2:17" ht="15.75" outlineLevel="1" x14ac:dyDescent="0.5">
      <c r="B36" s="20"/>
      <c r="C36" s="15" t="str">
        <f>'Hypothèses de recrutement'!C6</f>
        <v>Fonction support 1</v>
      </c>
      <c r="D36" s="20"/>
      <c r="E36" s="21"/>
      <c r="F36" s="20"/>
      <c r="G36" s="21"/>
      <c r="H36" s="19">
        <f>'Hypothèses de recrutement'!G6</f>
        <v>0</v>
      </c>
      <c r="I36" s="19">
        <f>'Hypothèses de recrutement'!H6</f>
        <v>32857</v>
      </c>
      <c r="J36" s="19">
        <f>'Hypothèses de recrutement'!I6</f>
        <v>36888</v>
      </c>
      <c r="K36" s="19">
        <f>'Hypothèses de recrutement'!J6</f>
        <v>37932</v>
      </c>
      <c r="L36" s="19">
        <f>'Hypothèses de recrutement'!K6</f>
        <v>38976.000000000007</v>
      </c>
      <c r="M36" s="19">
        <f>'Hypothèses de recrutement'!L6</f>
        <v>40020</v>
      </c>
      <c r="N36" s="19">
        <f>'Hypothèses de recrutement'!M6</f>
        <v>40716</v>
      </c>
      <c r="O36" s="19">
        <f>'Hypothèses de recrutement'!N6</f>
        <v>41412</v>
      </c>
      <c r="P36" s="19">
        <f>'Hypothèses de recrutement'!O6</f>
        <v>41760</v>
      </c>
      <c r="Q36" s="19">
        <f>'Hypothèses de recrutement'!P6</f>
        <v>42108</v>
      </c>
    </row>
    <row r="37" spans="2:17" ht="15.75" outlineLevel="1" x14ac:dyDescent="0.5">
      <c r="B37" s="20"/>
      <c r="C37" s="15" t="str">
        <f>'Hypothèses de recrutement'!C7</f>
        <v>CTO data scientist</v>
      </c>
      <c r="D37" s="20"/>
      <c r="E37" s="21"/>
      <c r="F37" s="20"/>
      <c r="G37" s="21"/>
      <c r="H37" s="19">
        <f>'Hypothèses de recrutement'!G7</f>
        <v>0</v>
      </c>
      <c r="I37" s="19">
        <f>'Hypothèses de recrutement'!H7</f>
        <v>79310</v>
      </c>
      <c r="J37" s="19">
        <f>'Hypothèses de recrutement'!I7</f>
        <v>89040</v>
      </c>
      <c r="K37" s="19">
        <f>'Hypothèses de recrutement'!J7</f>
        <v>91560</v>
      </c>
      <c r="L37" s="19">
        <f>'Hypothèses de recrutement'!K7</f>
        <v>94080.000000000015</v>
      </c>
      <c r="M37" s="19">
        <f>'Hypothèses de recrutement'!L7</f>
        <v>96599.999999999985</v>
      </c>
      <c r="N37" s="19">
        <f>'Hypothèses de recrutement'!M7</f>
        <v>98280</v>
      </c>
      <c r="O37" s="19">
        <f>'Hypothèses de recrutement'!N7</f>
        <v>99960</v>
      </c>
      <c r="P37" s="19">
        <f>'Hypothèses de recrutement'!O7</f>
        <v>100800</v>
      </c>
      <c r="Q37" s="19">
        <f>'Hypothèses de recrutement'!P7</f>
        <v>101640</v>
      </c>
    </row>
    <row r="38" spans="2:17" ht="15.75" outlineLevel="1" x14ac:dyDescent="0.5">
      <c r="B38" s="20"/>
      <c r="C38" s="15" t="str">
        <f>'Hypothèses de recrutement'!C8</f>
        <v>Recherche et innovation</v>
      </c>
      <c r="D38" s="20"/>
      <c r="E38" s="21"/>
      <c r="F38" s="20"/>
      <c r="G38" s="21"/>
      <c r="H38" s="19">
        <f>'Hypothèses de recrutement'!G8</f>
        <v>0</v>
      </c>
      <c r="I38" s="19">
        <f>'Hypothèses de recrutement'!H8</f>
        <v>48719</v>
      </c>
      <c r="J38" s="19">
        <f>'Hypothèses de recrutement'!I8</f>
        <v>54696</v>
      </c>
      <c r="K38" s="19">
        <f>'Hypothèses de recrutement'!J8</f>
        <v>56244.000000000007</v>
      </c>
      <c r="L38" s="19">
        <f>'Hypothèses de recrutement'!K8</f>
        <v>57792.000000000007</v>
      </c>
      <c r="M38" s="19">
        <f>'Hypothèses de recrutement'!L8</f>
        <v>59339.999999999993</v>
      </c>
      <c r="N38" s="19">
        <f>'Hypothèses de recrutement'!M8</f>
        <v>60371.999999999993</v>
      </c>
      <c r="O38" s="19">
        <f>'Hypothèses de recrutement'!N8</f>
        <v>61404</v>
      </c>
      <c r="P38" s="19">
        <f>'Hypothèses de recrutement'!O8</f>
        <v>61920</v>
      </c>
      <c r="Q38" s="19">
        <f>'Hypothèses de recrutement'!P8</f>
        <v>62436</v>
      </c>
    </row>
    <row r="39" spans="2:17" ht="15.75" outlineLevel="1" x14ac:dyDescent="0.5">
      <c r="B39" s="20"/>
      <c r="C39" s="15" t="str">
        <f>'Hypothèses de recrutement'!C9</f>
        <v>Data scientist 1</v>
      </c>
      <c r="D39" s="20"/>
      <c r="E39" s="21"/>
      <c r="F39" s="20"/>
      <c r="G39" s="21"/>
      <c r="H39" s="19">
        <f>'Hypothèses de recrutement'!G9</f>
        <v>0</v>
      </c>
      <c r="I39" s="19">
        <f>'Hypothèses de recrutement'!H9</f>
        <v>48719</v>
      </c>
      <c r="J39" s="19">
        <f>'Hypothèses de recrutement'!I9</f>
        <v>54696</v>
      </c>
      <c r="K39" s="19">
        <f>'Hypothèses de recrutement'!J9</f>
        <v>56244.000000000007</v>
      </c>
      <c r="L39" s="19">
        <f>'Hypothèses de recrutement'!K9</f>
        <v>57792.000000000007</v>
      </c>
      <c r="M39" s="19">
        <f>'Hypothèses de recrutement'!L9</f>
        <v>59339.999999999993</v>
      </c>
      <c r="N39" s="19">
        <f>'Hypothèses de recrutement'!M9</f>
        <v>60371.999999999993</v>
      </c>
      <c r="O39" s="19">
        <f>'Hypothèses de recrutement'!N9</f>
        <v>61404</v>
      </c>
      <c r="P39" s="19">
        <f>'Hypothèses de recrutement'!O9</f>
        <v>61920</v>
      </c>
      <c r="Q39" s="19">
        <f>'Hypothèses de recrutement'!P9</f>
        <v>62436</v>
      </c>
    </row>
    <row r="40" spans="2:17" ht="15.75" outlineLevel="1" x14ac:dyDescent="0.5">
      <c r="B40" s="20"/>
      <c r="C40" s="15" t="str">
        <f>'Hypothèses de recrutement'!C10</f>
        <v>Ingénieur 2</v>
      </c>
      <c r="D40" s="20"/>
      <c r="E40" s="21"/>
      <c r="F40" s="20"/>
      <c r="G40" s="21"/>
      <c r="H40" s="19">
        <f>'Hypothèses de recrutement'!G10</f>
        <v>0</v>
      </c>
      <c r="I40" s="19">
        <f>'Hypothèses de recrutement'!H10</f>
        <v>44290</v>
      </c>
      <c r="J40" s="19">
        <f>'Hypothèses de recrutement'!I10</f>
        <v>54696</v>
      </c>
      <c r="K40" s="19">
        <f>'Hypothèses de recrutement'!J10</f>
        <v>56244.000000000007</v>
      </c>
      <c r="L40" s="19">
        <f>'Hypothèses de recrutement'!K10</f>
        <v>57792.000000000007</v>
      </c>
      <c r="M40" s="19">
        <f>'Hypothèses de recrutement'!L10</f>
        <v>59339.999999999993</v>
      </c>
      <c r="N40" s="19">
        <f>'Hypothèses de recrutement'!M10</f>
        <v>60371.999999999993</v>
      </c>
      <c r="O40" s="19">
        <f>'Hypothèses de recrutement'!N10</f>
        <v>61404</v>
      </c>
      <c r="P40" s="19">
        <f>'Hypothèses de recrutement'!O10</f>
        <v>61920</v>
      </c>
      <c r="Q40" s="19">
        <f>'Hypothèses de recrutement'!P10</f>
        <v>62436</v>
      </c>
    </row>
    <row r="41" spans="2:17" ht="15.75" outlineLevel="1" x14ac:dyDescent="0.5">
      <c r="B41" s="14"/>
      <c r="C41" s="15" t="str">
        <f>'Hypothèses de recrutement'!C11</f>
        <v>Commerciaux 2022</v>
      </c>
      <c r="D41" s="20"/>
      <c r="E41" s="21"/>
      <c r="F41" s="20"/>
      <c r="G41" s="21"/>
      <c r="H41" s="19">
        <f>'Hypothèses de recrutement'!G11</f>
        <v>0</v>
      </c>
      <c r="I41" s="19">
        <f>'Hypothèses de recrutement'!H11</f>
        <v>14420</v>
      </c>
      <c r="J41" s="19">
        <f>'Hypothèses de recrutement'!I11</f>
        <v>44520</v>
      </c>
      <c r="K41" s="19">
        <f>'Hypothèses de recrutement'!J11</f>
        <v>45780</v>
      </c>
      <c r="L41" s="19">
        <f>'Hypothèses de recrutement'!K11</f>
        <v>47040.000000000007</v>
      </c>
      <c r="M41" s="19">
        <f>'Hypothèses de recrutement'!L11</f>
        <v>48299.999999999993</v>
      </c>
      <c r="N41" s="19">
        <f>'Hypothèses de recrutement'!M11</f>
        <v>49140</v>
      </c>
      <c r="O41" s="19">
        <f>'Hypothèses de recrutement'!N11</f>
        <v>49980</v>
      </c>
      <c r="P41" s="19">
        <f>'Hypothèses de recrutement'!O11</f>
        <v>50400</v>
      </c>
      <c r="Q41" s="19">
        <f>'Hypothèses de recrutement'!P11</f>
        <v>50820</v>
      </c>
    </row>
    <row r="42" spans="2:17" ht="15.75" outlineLevel="1" x14ac:dyDescent="0.5">
      <c r="B42" s="20"/>
      <c r="C42" s="15" t="str">
        <f>'Hypothèses de recrutement'!C12</f>
        <v>Ingrid Vaileanu</v>
      </c>
      <c r="D42" s="20"/>
      <c r="E42" s="21"/>
      <c r="F42" s="20"/>
      <c r="G42" s="21"/>
      <c r="H42" s="19">
        <f>'Hypothèses de recrutement'!G12</f>
        <v>0</v>
      </c>
      <c r="I42" s="19">
        <f>'Hypothèses de recrutement'!H12</f>
        <v>58916</v>
      </c>
      <c r="J42" s="19">
        <f>'Hypothèses de recrutement'!I12</f>
        <v>66144</v>
      </c>
      <c r="K42" s="19">
        <f>'Hypothèses de recrutement'!J12</f>
        <v>68016</v>
      </c>
      <c r="L42" s="19">
        <f>'Hypothèses de recrutement'!K12</f>
        <v>69888</v>
      </c>
      <c r="M42" s="19">
        <f>'Hypothèses de recrutement'!L12</f>
        <v>71760</v>
      </c>
      <c r="N42" s="19">
        <f>'Hypothèses de recrutement'!M12</f>
        <v>73008</v>
      </c>
      <c r="O42" s="19">
        <f>'Hypothèses de recrutement'!N12</f>
        <v>74256</v>
      </c>
      <c r="P42" s="19">
        <f>'Hypothèses de recrutement'!O12</f>
        <v>74880</v>
      </c>
      <c r="Q42" s="19">
        <f>'Hypothèses de recrutement'!P12</f>
        <v>75504</v>
      </c>
    </row>
    <row r="43" spans="2:17" ht="15.75" outlineLevel="1" x14ac:dyDescent="0.5">
      <c r="B43" s="20"/>
      <c r="C43" s="15" t="str">
        <f>'Hypothèses de recrutement'!C13</f>
        <v>Resp études transitions num. 1</v>
      </c>
      <c r="D43" s="20"/>
      <c r="E43" s="21"/>
      <c r="F43" s="20"/>
      <c r="G43" s="21"/>
      <c r="H43" s="19">
        <f>'Hypothèses de recrutement'!G13</f>
        <v>0</v>
      </c>
      <c r="I43" s="19">
        <f>'Hypothèses de recrutement'!H13</f>
        <v>38110</v>
      </c>
      <c r="J43" s="19">
        <f>'Hypothèses de recrutement'!I13</f>
        <v>47064</v>
      </c>
      <c r="K43" s="19">
        <f>'Hypothèses de recrutement'!J13</f>
        <v>48396</v>
      </c>
      <c r="L43" s="19">
        <f>'Hypothèses de recrutement'!K13</f>
        <v>49728.000000000007</v>
      </c>
      <c r="M43" s="19">
        <f>'Hypothèses de recrutement'!L13</f>
        <v>51059.999999999993</v>
      </c>
      <c r="N43" s="19">
        <f>'Hypothèses de recrutement'!M13</f>
        <v>51948</v>
      </c>
      <c r="O43" s="19">
        <f>'Hypothèses de recrutement'!N13</f>
        <v>52836</v>
      </c>
      <c r="P43" s="19">
        <f>'Hypothèses de recrutement'!O13</f>
        <v>53280</v>
      </c>
      <c r="Q43" s="19">
        <f>'Hypothèses de recrutement'!P13</f>
        <v>53724</v>
      </c>
    </row>
    <row r="44" spans="2:17" ht="15.75" outlineLevel="1" x14ac:dyDescent="0.5">
      <c r="B44" s="20"/>
      <c r="C44" s="15" t="str">
        <f>'Hypothèses de recrutement'!C14</f>
        <v>Doctorant (thèse)</v>
      </c>
      <c r="D44" s="20"/>
      <c r="E44" s="21"/>
      <c r="F44" s="20"/>
      <c r="G44" s="21"/>
      <c r="H44" s="19">
        <f>'Hypothèses de recrutement'!G14</f>
        <v>0</v>
      </c>
      <c r="I44" s="19">
        <f>'Hypothèses de recrutement'!H14</f>
        <v>21630</v>
      </c>
      <c r="J44" s="19">
        <f>'Hypothèses de recrutement'!I14</f>
        <v>38160</v>
      </c>
      <c r="K44" s="19">
        <f>'Hypothèses de recrutement'!J14</f>
        <v>39240</v>
      </c>
      <c r="L44" s="19">
        <f>'Hypothèses de recrutement'!K14</f>
        <v>40320.000000000007</v>
      </c>
      <c r="M44" s="19">
        <f>'Hypothèses de recrutement'!L14</f>
        <v>41400</v>
      </c>
      <c r="N44" s="19">
        <f>'Hypothèses de recrutement'!M14</f>
        <v>42120</v>
      </c>
      <c r="O44" s="19">
        <f>'Hypothèses de recrutement'!N14</f>
        <v>42840</v>
      </c>
      <c r="P44" s="19">
        <f>'Hypothèses de recrutement'!O14</f>
        <v>43200</v>
      </c>
      <c r="Q44" s="19">
        <f>'Hypothèses de recrutement'!P14</f>
        <v>43560</v>
      </c>
    </row>
    <row r="45" spans="2:17" ht="15.75" outlineLevel="1" x14ac:dyDescent="0.5">
      <c r="B45" s="14"/>
      <c r="C45" s="15" t="str">
        <f>'Hypothèses de recrutement'!C15</f>
        <v>Ingénieur 3</v>
      </c>
      <c r="D45" s="20"/>
      <c r="E45" s="21"/>
      <c r="F45" s="20"/>
      <c r="G45" s="21"/>
      <c r="H45" s="19">
        <f>'Hypothèses de recrutement'!G15</f>
        <v>0</v>
      </c>
      <c r="I45" s="19">
        <f>'Hypothèses de recrutement'!H15</f>
        <v>26574</v>
      </c>
      <c r="J45" s="19">
        <f>'Hypothèses de recrutement'!I15</f>
        <v>54696</v>
      </c>
      <c r="K45" s="19">
        <f>'Hypothèses de recrutement'!J15</f>
        <v>56244.000000000007</v>
      </c>
      <c r="L45" s="19">
        <f>'Hypothèses de recrutement'!K15</f>
        <v>57792.000000000007</v>
      </c>
      <c r="M45" s="19">
        <f>'Hypothèses de recrutement'!L15</f>
        <v>59339.999999999993</v>
      </c>
      <c r="N45" s="19">
        <f>'Hypothèses de recrutement'!M15</f>
        <v>60371.999999999993</v>
      </c>
      <c r="O45" s="19">
        <f>'Hypothèses de recrutement'!N15</f>
        <v>61404</v>
      </c>
      <c r="P45" s="19">
        <f>'Hypothèses de recrutement'!O15</f>
        <v>61920</v>
      </c>
      <c r="Q45" s="19">
        <f>'Hypothèses de recrutement'!P15</f>
        <v>62436</v>
      </c>
    </row>
    <row r="46" spans="2:17" ht="15.75" outlineLevel="1" x14ac:dyDescent="0.5">
      <c r="B46" s="20"/>
      <c r="C46" s="15" t="str">
        <f>'Hypothèses de recrutement'!C16</f>
        <v>Doctorant (thèse)</v>
      </c>
      <c r="D46" s="20"/>
      <c r="E46" s="21"/>
      <c r="F46" s="20"/>
      <c r="G46" s="21"/>
      <c r="H46" s="19">
        <f>'Hypothèses de recrutement'!G16</f>
        <v>0</v>
      </c>
      <c r="I46" s="19">
        <f>'Hypothèses de recrutement'!H16</f>
        <v>0</v>
      </c>
      <c r="J46" s="19">
        <f>'Hypothèses de recrutement'!I16</f>
        <v>34980</v>
      </c>
      <c r="K46" s="19">
        <f>'Hypothèses de recrutement'!J16</f>
        <v>39240</v>
      </c>
      <c r="L46" s="19">
        <f>'Hypothèses de recrutement'!K16</f>
        <v>40320.000000000007</v>
      </c>
      <c r="M46" s="19">
        <f>'Hypothèses de recrutement'!L16</f>
        <v>41400</v>
      </c>
      <c r="N46" s="19">
        <f>'Hypothèses de recrutement'!M16</f>
        <v>42120</v>
      </c>
      <c r="O46" s="19">
        <f>'Hypothèses de recrutement'!N16</f>
        <v>42840</v>
      </c>
      <c r="P46" s="19">
        <f>'Hypothèses de recrutement'!O16</f>
        <v>43200</v>
      </c>
      <c r="Q46" s="19">
        <f>'Hypothèses de recrutement'!P16</f>
        <v>43560</v>
      </c>
    </row>
    <row r="47" spans="2:17" ht="15.75" outlineLevel="1" x14ac:dyDescent="0.5">
      <c r="B47" s="20"/>
      <c r="C47" s="15" t="str">
        <f>'Hypothèses de recrutement'!C17</f>
        <v>Post doc 1</v>
      </c>
      <c r="D47" s="20"/>
      <c r="E47" s="21"/>
      <c r="F47" s="20"/>
      <c r="G47" s="21"/>
      <c r="H47" s="19">
        <f>'Hypothèses de recrutement'!G17</f>
        <v>0</v>
      </c>
      <c r="I47" s="19">
        <f>'Hypothèses de recrutement'!H17</f>
        <v>0</v>
      </c>
      <c r="J47" s="19">
        <f>'Hypothèses de recrutement'!I17</f>
        <v>50138</v>
      </c>
      <c r="K47" s="19">
        <f>'Hypothèses de recrutement'!J17</f>
        <v>56244.000000000007</v>
      </c>
      <c r="L47" s="19">
        <f>'Hypothèses de recrutement'!K17</f>
        <v>57792.000000000007</v>
      </c>
      <c r="M47" s="19">
        <f>'Hypothèses de recrutement'!L17</f>
        <v>59339.999999999993</v>
      </c>
      <c r="N47" s="19">
        <f>'Hypothèses de recrutement'!M17</f>
        <v>60371.999999999993</v>
      </c>
      <c r="O47" s="19">
        <f>'Hypothèses de recrutement'!N17</f>
        <v>61404</v>
      </c>
      <c r="P47" s="19">
        <f>'Hypothèses de recrutement'!O17</f>
        <v>61920</v>
      </c>
      <c r="Q47" s="19">
        <f>'Hypothèses de recrutement'!P17</f>
        <v>62436</v>
      </c>
    </row>
    <row r="48" spans="2:17" ht="15.75" outlineLevel="1" x14ac:dyDescent="0.5">
      <c r="B48" s="20"/>
      <c r="C48" s="15" t="str">
        <f>'Hypothèses de recrutement'!C18</f>
        <v>Resp études transition num. RSE</v>
      </c>
      <c r="D48" s="20"/>
      <c r="E48" s="21"/>
      <c r="F48" s="20"/>
      <c r="G48" s="21"/>
      <c r="H48" s="19">
        <f>'Hypothèses de recrutement'!G18</f>
        <v>0</v>
      </c>
      <c r="I48" s="19">
        <f>'Hypothèses de recrutement'!H18</f>
        <v>0</v>
      </c>
      <c r="J48" s="19">
        <f>'Hypothèses de recrutement'!I18</f>
        <v>43142</v>
      </c>
      <c r="K48" s="19">
        <f>'Hypothèses de recrutement'!J18</f>
        <v>48396</v>
      </c>
      <c r="L48" s="19">
        <f>'Hypothèses de recrutement'!K18</f>
        <v>49728.000000000007</v>
      </c>
      <c r="M48" s="19">
        <f>'Hypothèses de recrutement'!L18</f>
        <v>51059.999999999993</v>
      </c>
      <c r="N48" s="19">
        <f>'Hypothèses de recrutement'!M18</f>
        <v>51948</v>
      </c>
      <c r="O48" s="19">
        <f>'Hypothèses de recrutement'!N18</f>
        <v>52836</v>
      </c>
      <c r="P48" s="19">
        <f>'Hypothèses de recrutement'!O18</f>
        <v>53280</v>
      </c>
      <c r="Q48" s="19">
        <f>'Hypothèses de recrutement'!P18</f>
        <v>53724</v>
      </c>
    </row>
    <row r="49" spans="2:17" ht="15.75" outlineLevel="1" x14ac:dyDescent="0.5">
      <c r="B49" s="20"/>
      <c r="C49" s="15" t="str">
        <f>'Hypothèses de recrutement'!C19</f>
        <v>Resp études expé - transitions num.</v>
      </c>
      <c r="D49" s="20"/>
      <c r="E49" s="21"/>
      <c r="F49" s="20"/>
      <c r="G49" s="21"/>
      <c r="H49" s="19">
        <f>'Hypothèses de recrutement'!G19</f>
        <v>0</v>
      </c>
      <c r="I49" s="19">
        <f>'Hypothèses de recrutement'!H19</f>
        <v>0</v>
      </c>
      <c r="J49" s="19">
        <f>'Hypothèses de recrutement'!I19</f>
        <v>43142</v>
      </c>
      <c r="K49" s="19">
        <f>'Hypothèses de recrutement'!J19</f>
        <v>48396</v>
      </c>
      <c r="L49" s="19">
        <f>'Hypothèses de recrutement'!K19</f>
        <v>49728.000000000007</v>
      </c>
      <c r="M49" s="19">
        <f>'Hypothèses de recrutement'!L19</f>
        <v>51059.999999999993</v>
      </c>
      <c r="N49" s="19">
        <f>'Hypothèses de recrutement'!M19</f>
        <v>51948</v>
      </c>
      <c r="O49" s="19">
        <f>'Hypothèses de recrutement'!N19</f>
        <v>52836</v>
      </c>
      <c r="P49" s="19">
        <f>'Hypothèses de recrutement'!O19</f>
        <v>53280</v>
      </c>
      <c r="Q49" s="19">
        <f>'Hypothèses de recrutement'!P19</f>
        <v>53724</v>
      </c>
    </row>
    <row r="50" spans="2:17" ht="15.75" outlineLevel="1" x14ac:dyDescent="0.5">
      <c r="B50" s="20"/>
      <c r="C50" s="15" t="str">
        <f>'Hypothèses de recrutement'!C20</f>
        <v>Responsable projet</v>
      </c>
      <c r="D50" s="20"/>
      <c r="E50" s="21"/>
      <c r="F50" s="20"/>
      <c r="G50" s="21"/>
      <c r="H50" s="19">
        <f>'Hypothèses de recrutement'!G20</f>
        <v>0</v>
      </c>
      <c r="I50" s="19">
        <f>'Hypothèses de recrutement'!H20</f>
        <v>0</v>
      </c>
      <c r="J50" s="19">
        <f>'Hypothèses de recrutement'!I20</f>
        <v>43142</v>
      </c>
      <c r="K50" s="19">
        <f>'Hypothèses de recrutement'!J20</f>
        <v>48396</v>
      </c>
      <c r="L50" s="19">
        <f>'Hypothèses de recrutement'!K20</f>
        <v>49728.000000000007</v>
      </c>
      <c r="M50" s="19">
        <f>'Hypothèses de recrutement'!L20</f>
        <v>51059.999999999993</v>
      </c>
      <c r="N50" s="19">
        <f>'Hypothèses de recrutement'!M20</f>
        <v>51948</v>
      </c>
      <c r="O50" s="19">
        <f>'Hypothèses de recrutement'!N20</f>
        <v>52836</v>
      </c>
      <c r="P50" s="19">
        <f>'Hypothèses de recrutement'!O20</f>
        <v>53280</v>
      </c>
      <c r="Q50" s="19">
        <f>'Hypothèses de recrutement'!P20</f>
        <v>53724</v>
      </c>
    </row>
    <row r="51" spans="2:17" ht="15.75" outlineLevel="1" x14ac:dyDescent="0.5">
      <c r="B51" s="14"/>
      <c r="C51" s="15" t="str">
        <f>'Hypothèses de recrutement'!C21</f>
        <v>Dev + community manager 1</v>
      </c>
      <c r="D51" s="20"/>
      <c r="E51" s="21"/>
      <c r="F51" s="20"/>
      <c r="G51" s="21"/>
      <c r="H51" s="19">
        <f>'Hypothèses de recrutement'!G21</f>
        <v>0</v>
      </c>
      <c r="I51" s="19">
        <f>'Hypothèses de recrutement'!H21</f>
        <v>0</v>
      </c>
      <c r="J51" s="19">
        <f>'Hypothèses de recrutement'!I21</f>
        <v>33072</v>
      </c>
      <c r="K51" s="19">
        <f>'Hypothèses de recrutement'!J21</f>
        <v>51012.000000000007</v>
      </c>
      <c r="L51" s="19">
        <f>'Hypothèses de recrutement'!K21</f>
        <v>52416.000000000007</v>
      </c>
      <c r="M51" s="19">
        <f>'Hypothèses de recrutement'!L21</f>
        <v>53819.999999999993</v>
      </c>
      <c r="N51" s="19">
        <f>'Hypothèses de recrutement'!M21</f>
        <v>54756</v>
      </c>
      <c r="O51" s="19">
        <f>'Hypothèses de recrutement'!N21</f>
        <v>55692</v>
      </c>
      <c r="P51" s="19">
        <f>'Hypothèses de recrutement'!O21</f>
        <v>56160</v>
      </c>
      <c r="Q51" s="19">
        <f>'Hypothèses de recrutement'!P21</f>
        <v>56628</v>
      </c>
    </row>
    <row r="52" spans="2:17" ht="15.75" outlineLevel="1" x14ac:dyDescent="0.5">
      <c r="B52" s="20"/>
      <c r="C52" s="15" t="str">
        <f>'Hypothèses de recrutement'!C22</f>
        <v>Commerciaux 2023</v>
      </c>
      <c r="D52" s="20"/>
      <c r="E52" s="21"/>
      <c r="F52" s="20"/>
      <c r="G52" s="21"/>
      <c r="H52" s="19">
        <f>'Hypothèses de recrutement'!G22</f>
        <v>0</v>
      </c>
      <c r="I52" s="19">
        <f>'Hypothèses de recrutement'!H22</f>
        <v>0</v>
      </c>
      <c r="J52" s="19">
        <f>'Hypothèses de recrutement'!I22</f>
        <v>51940</v>
      </c>
      <c r="K52" s="19">
        <f>'Hypothèses de recrutement'!J22</f>
        <v>91560</v>
      </c>
      <c r="L52" s="19">
        <f>'Hypothèses de recrutement'!K22</f>
        <v>94080.000000000015</v>
      </c>
      <c r="M52" s="19">
        <f>'Hypothèses de recrutement'!L22</f>
        <v>96599.999999999985</v>
      </c>
      <c r="N52" s="19">
        <f>'Hypothèses de recrutement'!M22</f>
        <v>98280</v>
      </c>
      <c r="O52" s="19">
        <f>'Hypothèses de recrutement'!N22</f>
        <v>99960</v>
      </c>
      <c r="P52" s="19">
        <f>'Hypothèses de recrutement'!O22</f>
        <v>100800</v>
      </c>
      <c r="Q52" s="19">
        <f>'Hypothèses de recrutement'!P22</f>
        <v>101640</v>
      </c>
    </row>
    <row r="53" spans="2:17" ht="15.75" outlineLevel="1" x14ac:dyDescent="0.5">
      <c r="B53" s="20"/>
      <c r="C53" s="15" t="str">
        <f>'Hypothèses de recrutement'!C23</f>
        <v>Fonction support 2</v>
      </c>
      <c r="D53" s="20"/>
      <c r="E53" s="21"/>
      <c r="F53" s="20"/>
      <c r="G53" s="21"/>
      <c r="H53" s="19">
        <f>'Hypothèses de recrutement'!G23</f>
        <v>0</v>
      </c>
      <c r="I53" s="19">
        <f>'Hypothèses de recrutement'!H23</f>
        <v>0</v>
      </c>
      <c r="J53" s="19">
        <f>'Hypothèses de recrutement'!I23</f>
        <v>18444</v>
      </c>
      <c r="K53" s="19">
        <f>'Hypothèses de recrutement'!J23</f>
        <v>37932</v>
      </c>
      <c r="L53" s="19">
        <f>'Hypothèses de recrutement'!K23</f>
        <v>38976.000000000007</v>
      </c>
      <c r="M53" s="19">
        <f>'Hypothèses de recrutement'!L23</f>
        <v>40020</v>
      </c>
      <c r="N53" s="19">
        <f>'Hypothèses de recrutement'!M23</f>
        <v>40716</v>
      </c>
      <c r="O53" s="19">
        <f>'Hypothèses de recrutement'!N23</f>
        <v>41412</v>
      </c>
      <c r="P53" s="19">
        <f>'Hypothèses de recrutement'!O23</f>
        <v>41760</v>
      </c>
      <c r="Q53" s="19">
        <f>'Hypothèses de recrutement'!P23</f>
        <v>42108</v>
      </c>
    </row>
    <row r="54" spans="2:17" ht="15.75" outlineLevel="1" x14ac:dyDescent="0.5">
      <c r="B54" s="20"/>
      <c r="C54" s="15" t="str">
        <f>'Hypothèses de recrutement'!C24</f>
        <v>Commerciaux 2024</v>
      </c>
      <c r="D54" s="20"/>
      <c r="E54" s="21"/>
      <c r="F54" s="20"/>
      <c r="G54" s="21"/>
      <c r="H54" s="19">
        <f>'Hypothèses de recrutement'!G24</f>
        <v>0</v>
      </c>
      <c r="I54" s="19">
        <f>'Hypothèses de recrutement'!H24</f>
        <v>0</v>
      </c>
      <c r="J54" s="19">
        <f>'Hypothèses de recrutement'!I24</f>
        <v>0</v>
      </c>
      <c r="K54" s="19">
        <f>'Hypothèses de recrutement'!J24</f>
        <v>209825.00000000003</v>
      </c>
      <c r="L54" s="19">
        <f>'Hypothèses de recrutement'!K24</f>
        <v>235200.00000000003</v>
      </c>
      <c r="M54" s="19">
        <f>'Hypothèses de recrutement'!L24</f>
        <v>241499.99999999997</v>
      </c>
      <c r="N54" s="19">
        <f>'Hypothèses de recrutement'!M24</f>
        <v>245699.99999999997</v>
      </c>
      <c r="O54" s="19">
        <f>'Hypothèses de recrutement'!N24</f>
        <v>249900</v>
      </c>
      <c r="P54" s="19">
        <f>'Hypothèses de recrutement'!O24</f>
        <v>252000</v>
      </c>
      <c r="Q54" s="19">
        <f>'Hypothèses de recrutement'!P24</f>
        <v>254100</v>
      </c>
    </row>
    <row r="55" spans="2:17" ht="15.75" outlineLevel="1" x14ac:dyDescent="0.5">
      <c r="B55" s="20"/>
      <c r="C55" s="15" t="str">
        <f>'Hypothèses de recrutement'!C25</f>
        <v>Post doc 2</v>
      </c>
      <c r="D55" s="20"/>
      <c r="E55" s="21"/>
      <c r="F55" s="20"/>
      <c r="G55" s="21"/>
      <c r="H55" s="19">
        <f>'Hypothèses de recrutement'!G25</f>
        <v>0</v>
      </c>
      <c r="I55" s="19">
        <f>'Hypothèses de recrutement'!H25</f>
        <v>0</v>
      </c>
      <c r="J55" s="19">
        <f>'Hypothèses de recrutement'!I25</f>
        <v>0</v>
      </c>
      <c r="K55" s="19">
        <f>'Hypothèses de recrutement'!J25</f>
        <v>42183</v>
      </c>
      <c r="L55" s="19">
        <f>'Hypothèses de recrutement'!K25</f>
        <v>57792.000000000007</v>
      </c>
      <c r="M55" s="19">
        <f>'Hypothèses de recrutement'!L25</f>
        <v>59339.999999999993</v>
      </c>
      <c r="N55" s="19">
        <f>'Hypothèses de recrutement'!M25</f>
        <v>60371.999999999993</v>
      </c>
      <c r="O55" s="19">
        <f>'Hypothèses de recrutement'!N25</f>
        <v>61404</v>
      </c>
      <c r="P55" s="19">
        <f>'Hypothèses de recrutement'!O25</f>
        <v>61920</v>
      </c>
      <c r="Q55" s="19">
        <f>'Hypothèses de recrutement'!P25</f>
        <v>62436</v>
      </c>
    </row>
    <row r="56" spans="2:17" ht="15.75" outlineLevel="1" x14ac:dyDescent="0.5">
      <c r="B56" s="20"/>
      <c r="C56" s="15" t="str">
        <f>'Hypothèses de recrutement'!C26</f>
        <v>Commerciaux 2025</v>
      </c>
      <c r="D56" s="20"/>
      <c r="E56" s="21"/>
      <c r="F56" s="20"/>
      <c r="G56" s="21"/>
      <c r="H56" s="19">
        <f>'Hypothèses de recrutement'!G26</f>
        <v>0</v>
      </c>
      <c r="I56" s="19">
        <f>'Hypothèses de recrutement'!H26</f>
        <v>0</v>
      </c>
      <c r="J56" s="19">
        <f>'Hypothèses de recrutement'!I26</f>
        <v>0</v>
      </c>
      <c r="K56" s="19">
        <f>'Hypothèses de recrutement'!J26</f>
        <v>0</v>
      </c>
      <c r="L56" s="19">
        <f>'Hypothèses de recrutement'!K26</f>
        <v>215600.00000000003</v>
      </c>
      <c r="M56" s="19">
        <f>'Hypothèses de recrutement'!L26</f>
        <v>241499.99999999997</v>
      </c>
      <c r="N56" s="19">
        <f>'Hypothèses de recrutement'!M26</f>
        <v>245699.99999999997</v>
      </c>
      <c r="O56" s="19">
        <f>'Hypothèses de recrutement'!N26</f>
        <v>249900</v>
      </c>
      <c r="P56" s="19">
        <f>'Hypothèses de recrutement'!O26</f>
        <v>252000</v>
      </c>
      <c r="Q56" s="19">
        <f>'Hypothèses de recrutement'!P26</f>
        <v>254100</v>
      </c>
    </row>
    <row r="57" spans="2:17" ht="15.75" outlineLevel="1" x14ac:dyDescent="0.5">
      <c r="B57" s="20"/>
      <c r="C57" s="15" t="str">
        <f>'Hypothèses de recrutement'!C27</f>
        <v>Dev + community manager</v>
      </c>
      <c r="D57" s="20"/>
      <c r="E57" s="21"/>
      <c r="F57" s="20"/>
      <c r="G57" s="21"/>
      <c r="H57" s="19">
        <f>'Hypothèses de recrutement'!G27</f>
        <v>0</v>
      </c>
      <c r="I57" s="19">
        <f>'Hypothèses de recrutement'!H27</f>
        <v>0</v>
      </c>
      <c r="J57" s="19">
        <f>'Hypothèses de recrutement'!I27</f>
        <v>0</v>
      </c>
      <c r="K57" s="19">
        <f>'Hypothèses de recrutement'!J27</f>
        <v>0</v>
      </c>
      <c r="L57" s="19">
        <f>'Hypothèses de recrutement'!K27</f>
        <v>39312.000000000007</v>
      </c>
      <c r="M57" s="19">
        <f>'Hypothèses de recrutement'!L27</f>
        <v>53819.999999999993</v>
      </c>
      <c r="N57" s="19">
        <f>'Hypothèses de recrutement'!M27</f>
        <v>54756</v>
      </c>
      <c r="O57" s="19">
        <f>'Hypothèses de recrutement'!N27</f>
        <v>55692</v>
      </c>
      <c r="P57" s="19">
        <f>'Hypothèses de recrutement'!O27</f>
        <v>56160</v>
      </c>
      <c r="Q57" s="19">
        <f>'Hypothèses de recrutement'!P27</f>
        <v>56628</v>
      </c>
    </row>
    <row r="58" spans="2:17" ht="15.75" outlineLevel="1" x14ac:dyDescent="0.5">
      <c r="B58" s="14"/>
      <c r="C58" s="15" t="str">
        <f>'Hypothèses de recrutement'!C28</f>
        <v>Data scientist 2</v>
      </c>
      <c r="D58" s="20"/>
      <c r="E58" s="21"/>
      <c r="F58" s="20"/>
      <c r="G58" s="21"/>
      <c r="H58" s="19">
        <f>'Hypothèses de recrutement'!G28</f>
        <v>0</v>
      </c>
      <c r="I58" s="19">
        <f>'Hypothèses de recrutement'!H28</f>
        <v>0</v>
      </c>
      <c r="J58" s="19">
        <f>'Hypothèses de recrutement'!I28</f>
        <v>0</v>
      </c>
      <c r="K58" s="19">
        <f>'Hypothèses de recrutement'!J28</f>
        <v>0</v>
      </c>
      <c r="L58" s="19">
        <f>'Hypothèses de recrutement'!K28</f>
        <v>43344.000000000007</v>
      </c>
      <c r="M58" s="19">
        <f>'Hypothèses de recrutement'!L28</f>
        <v>59339.999999999993</v>
      </c>
      <c r="N58" s="19">
        <f>'Hypothèses de recrutement'!M28</f>
        <v>60371.999999999993</v>
      </c>
      <c r="O58" s="19">
        <f>'Hypothèses de recrutement'!N28</f>
        <v>61404</v>
      </c>
      <c r="P58" s="19">
        <f>'Hypothèses de recrutement'!O28</f>
        <v>61920</v>
      </c>
      <c r="Q58" s="19">
        <f>'Hypothèses de recrutement'!P28</f>
        <v>62436</v>
      </c>
    </row>
    <row r="59" spans="2:17" ht="15.75" outlineLevel="1" x14ac:dyDescent="0.5">
      <c r="B59" s="14"/>
      <c r="C59" s="15" t="str">
        <f>'Hypothèses de recrutement'!C29</f>
        <v>Dev + community manager 2</v>
      </c>
      <c r="D59" s="376"/>
      <c r="E59" s="21"/>
      <c r="F59" s="20"/>
      <c r="G59" s="21"/>
      <c r="H59" s="19">
        <f>'Hypothèses de recrutement'!G29</f>
        <v>0</v>
      </c>
      <c r="I59" s="19">
        <f>'Hypothèses de recrutement'!H29</f>
        <v>0</v>
      </c>
      <c r="J59" s="19">
        <f>'Hypothèses de recrutement'!I29</f>
        <v>0</v>
      </c>
      <c r="K59" s="19">
        <f>'Hypothèses de recrutement'!J29</f>
        <v>0</v>
      </c>
      <c r="L59" s="19">
        <f>'Hypothèses de recrutement'!K29</f>
        <v>39312.000000000007</v>
      </c>
      <c r="M59" s="19">
        <f>'Hypothèses de recrutement'!L29</f>
        <v>53819.999999999993</v>
      </c>
      <c r="N59" s="19">
        <f>'Hypothèses de recrutement'!M29</f>
        <v>54756</v>
      </c>
      <c r="O59" s="19">
        <f>'Hypothèses de recrutement'!N29</f>
        <v>55692</v>
      </c>
      <c r="P59" s="19">
        <f>'Hypothèses de recrutement'!O29</f>
        <v>56160</v>
      </c>
      <c r="Q59" s="19">
        <f>'Hypothèses de recrutement'!P29</f>
        <v>56628</v>
      </c>
    </row>
    <row r="60" spans="2:17" ht="15.75" outlineLevel="1" x14ac:dyDescent="0.5">
      <c r="B60" s="14"/>
      <c r="C60" s="15" t="str">
        <f>'Hypothèses de recrutement'!C30</f>
        <v>Resp études expé</v>
      </c>
      <c r="D60" s="376"/>
      <c r="E60" s="21"/>
      <c r="F60" s="20"/>
      <c r="G60" s="21"/>
      <c r="H60" s="19">
        <f>'Hypothèses de recrutement'!G30</f>
        <v>0</v>
      </c>
      <c r="I60" s="19">
        <f>'Hypothèses de recrutement'!H30</f>
        <v>0</v>
      </c>
      <c r="J60" s="19">
        <f>'Hypothèses de recrutement'!I30</f>
        <v>0</v>
      </c>
      <c r="K60" s="19">
        <f>'Hypothèses de recrutement'!J30</f>
        <v>0</v>
      </c>
      <c r="L60" s="19">
        <f>'Hypothèses de recrutement'!K30</f>
        <v>37296</v>
      </c>
      <c r="M60" s="19">
        <f>'Hypothèses de recrutement'!L30</f>
        <v>51059.999999999993</v>
      </c>
      <c r="N60" s="19">
        <f>'Hypothèses de recrutement'!M30</f>
        <v>51948</v>
      </c>
      <c r="O60" s="19">
        <f>'Hypothèses de recrutement'!N30</f>
        <v>52836</v>
      </c>
      <c r="P60" s="19">
        <f>'Hypothèses de recrutement'!O30</f>
        <v>53280</v>
      </c>
      <c r="Q60" s="19">
        <f>'Hypothèses de recrutement'!P30</f>
        <v>53724</v>
      </c>
    </row>
    <row r="61" spans="2:17" ht="15.75" outlineLevel="1" x14ac:dyDescent="0.5">
      <c r="B61" s="14"/>
      <c r="C61" s="15" t="str">
        <f>'Hypothèses de recrutement'!C31</f>
        <v>Commerciaux 2026</v>
      </c>
      <c r="D61" s="376"/>
      <c r="E61" s="21"/>
      <c r="F61" s="20"/>
      <c r="G61" s="21"/>
      <c r="H61" s="19">
        <f>'Hypothèses de recrutement'!G31</f>
        <v>0</v>
      </c>
      <c r="I61" s="19">
        <f>'Hypothèses de recrutement'!H31</f>
        <v>0</v>
      </c>
      <c r="J61" s="19">
        <f>'Hypothèses de recrutement'!I31</f>
        <v>0</v>
      </c>
      <c r="K61" s="19">
        <f>'Hypothèses de recrutement'!J31</f>
        <v>0</v>
      </c>
      <c r="L61" s="19">
        <f>'Hypothèses de recrutement'!K31</f>
        <v>0</v>
      </c>
      <c r="M61" s="19">
        <f>'Hypothèses de recrutement'!L31</f>
        <v>132825</v>
      </c>
      <c r="N61" s="19">
        <f>'Hypothèses de recrutement'!M31</f>
        <v>147420</v>
      </c>
      <c r="O61" s="19">
        <f>'Hypothèses de recrutement'!N31</f>
        <v>149940</v>
      </c>
      <c r="P61" s="19">
        <f>'Hypothèses de recrutement'!O31</f>
        <v>151200</v>
      </c>
      <c r="Q61" s="19">
        <f>'Hypothèses de recrutement'!P31</f>
        <v>152460</v>
      </c>
    </row>
    <row r="62" spans="2:17" ht="15.75" outlineLevel="1" x14ac:dyDescent="0.5">
      <c r="B62" s="14"/>
      <c r="C62" s="15" t="str">
        <f>'Hypothèses de recrutement'!C32</f>
        <v>Post doc 3</v>
      </c>
      <c r="D62" s="376"/>
      <c r="E62" s="21"/>
      <c r="F62" s="20"/>
      <c r="G62" s="21"/>
      <c r="H62" s="19">
        <f>'Hypothèses de recrutement'!G32</f>
        <v>0</v>
      </c>
      <c r="I62" s="19">
        <f>'Hypothèses de recrutement'!H32</f>
        <v>0</v>
      </c>
      <c r="J62" s="19">
        <f>'Hypothèses de recrutement'!I32</f>
        <v>0</v>
      </c>
      <c r="K62" s="19">
        <f>'Hypothèses de recrutement'!J32</f>
        <v>0</v>
      </c>
      <c r="L62" s="19">
        <f>'Hypothèses de recrutement'!K32</f>
        <v>0</v>
      </c>
      <c r="M62" s="19">
        <f>'Hypothèses de recrutement'!L32</f>
        <v>44505</v>
      </c>
      <c r="N62" s="19">
        <f>'Hypothèses de recrutement'!M32</f>
        <v>60371.999999999993</v>
      </c>
      <c r="O62" s="19">
        <f>'Hypothèses de recrutement'!N32</f>
        <v>61404</v>
      </c>
      <c r="P62" s="19">
        <f>'Hypothèses de recrutement'!O32</f>
        <v>61920</v>
      </c>
      <c r="Q62" s="19">
        <f>'Hypothèses de recrutement'!P32</f>
        <v>62436</v>
      </c>
    </row>
    <row r="63" spans="2:17" ht="15.75" outlineLevel="1" x14ac:dyDescent="0.5">
      <c r="B63" s="20"/>
      <c r="C63" s="15" t="str">
        <f>'Hypothèses de recrutement'!C33</f>
        <v>Commerciaux 2027</v>
      </c>
      <c r="D63" s="20"/>
      <c r="E63" s="21"/>
      <c r="F63" s="20"/>
      <c r="G63" s="21"/>
      <c r="H63" s="19">
        <f>'Hypothèses de recrutement'!G33</f>
        <v>0</v>
      </c>
      <c r="I63" s="19">
        <f>'Hypothèses de recrutement'!H33</f>
        <v>0</v>
      </c>
      <c r="J63" s="19">
        <f>'Hypothèses de recrutement'!I33</f>
        <v>0</v>
      </c>
      <c r="K63" s="19">
        <f>'Hypothèses de recrutement'!J33</f>
        <v>0</v>
      </c>
      <c r="L63" s="19">
        <f>'Hypothèses de recrutement'!K33</f>
        <v>0</v>
      </c>
      <c r="M63" s="19">
        <f>'Hypothèses de recrutement'!L33</f>
        <v>0</v>
      </c>
      <c r="N63" s="19">
        <f>'Hypothèses de recrutement'!M33</f>
        <v>90090</v>
      </c>
      <c r="O63" s="19">
        <f>'Hypothèses de recrutement'!N33</f>
        <v>99960</v>
      </c>
      <c r="P63" s="19">
        <f>'Hypothèses de recrutement'!O33</f>
        <v>100800</v>
      </c>
      <c r="Q63" s="19">
        <f>'Hypothèses de recrutement'!P33</f>
        <v>101640</v>
      </c>
    </row>
    <row r="64" spans="2:17" ht="15.75" outlineLevel="1" x14ac:dyDescent="0.5">
      <c r="B64" s="20"/>
      <c r="C64" s="15" t="str">
        <f>'Hypothèses de recrutement'!C34</f>
        <v>Post doc 4</v>
      </c>
      <c r="D64" s="20"/>
      <c r="E64" s="21"/>
      <c r="F64" s="20"/>
      <c r="G64" s="21"/>
      <c r="H64" s="19">
        <f>'Hypothèses de recrutement'!G34</f>
        <v>0</v>
      </c>
      <c r="I64" s="19">
        <f>'Hypothèses de recrutement'!H34</f>
        <v>0</v>
      </c>
      <c r="J64" s="19">
        <f>'Hypothèses de recrutement'!I34</f>
        <v>0</v>
      </c>
      <c r="K64" s="19">
        <f>'Hypothèses de recrutement'!J34</f>
        <v>0</v>
      </c>
      <c r="L64" s="19">
        <f>'Hypothèses de recrutement'!K34</f>
        <v>0</v>
      </c>
      <c r="M64" s="19">
        <f>'Hypothèses de recrutement'!L34</f>
        <v>0</v>
      </c>
      <c r="N64" s="19">
        <f>'Hypothèses de recrutement'!M34</f>
        <v>45279</v>
      </c>
      <c r="O64" s="19">
        <f>'Hypothèses de recrutement'!N34</f>
        <v>61404</v>
      </c>
      <c r="P64" s="19">
        <f>'Hypothèses de recrutement'!O34</f>
        <v>61920</v>
      </c>
      <c r="Q64" s="19">
        <f>'Hypothèses de recrutement'!P34</f>
        <v>62436</v>
      </c>
    </row>
    <row r="65" spans="2:17" ht="15.75" outlineLevel="1" x14ac:dyDescent="0.5">
      <c r="B65" s="20"/>
      <c r="C65" s="15" t="str">
        <f>'Hypothèses de recrutement'!C35</f>
        <v>Fonction support 3</v>
      </c>
      <c r="D65" s="20"/>
      <c r="E65" s="21"/>
      <c r="F65" s="20"/>
      <c r="G65" s="21"/>
      <c r="H65" s="19">
        <f>'Hypothèses de recrutement'!G35</f>
        <v>0</v>
      </c>
      <c r="I65" s="19">
        <f>'Hypothèses de recrutement'!H35</f>
        <v>0</v>
      </c>
      <c r="J65" s="19">
        <f>'Hypothèses de recrutement'!I35</f>
        <v>0</v>
      </c>
      <c r="K65" s="19">
        <f>'Hypothèses de recrutement'!J35</f>
        <v>0</v>
      </c>
      <c r="L65" s="19">
        <f>'Hypothèses de recrutement'!K35</f>
        <v>0</v>
      </c>
      <c r="M65" s="19">
        <f>'Hypothèses de recrutement'!L35</f>
        <v>0</v>
      </c>
      <c r="N65" s="19">
        <f>'Hypothèses de recrutement'!M35</f>
        <v>20358</v>
      </c>
      <c r="O65" s="19">
        <f>'Hypothèses de recrutement'!N35</f>
        <v>41412</v>
      </c>
      <c r="P65" s="19">
        <f>'Hypothèses de recrutement'!O35</f>
        <v>41760</v>
      </c>
      <c r="Q65" s="19">
        <f>'Hypothèses de recrutement'!P35</f>
        <v>42108</v>
      </c>
    </row>
    <row r="66" spans="2:17" ht="15.75" outlineLevel="1" x14ac:dyDescent="0.5">
      <c r="B66" s="20"/>
      <c r="C66" s="15" t="str">
        <f>'Hypothèses de recrutement'!C36</f>
        <v>Commerciaux 2028</v>
      </c>
      <c r="D66" s="20"/>
      <c r="E66" s="21"/>
      <c r="F66" s="20"/>
      <c r="G66" s="21"/>
      <c r="H66" s="19">
        <f>'Hypothèses de recrutement'!G36</f>
        <v>0</v>
      </c>
      <c r="I66" s="19">
        <f>'Hypothèses de recrutement'!H36</f>
        <v>0</v>
      </c>
      <c r="J66" s="19">
        <f>'Hypothèses de recrutement'!I36</f>
        <v>0</v>
      </c>
      <c r="K66" s="19">
        <f>'Hypothèses de recrutement'!J36</f>
        <v>0</v>
      </c>
      <c r="L66" s="19">
        <f>'Hypothèses de recrutement'!K36</f>
        <v>0</v>
      </c>
      <c r="M66" s="19">
        <f>'Hypothèses de recrutement'!L36</f>
        <v>0</v>
      </c>
      <c r="N66" s="19">
        <f>'Hypothèses de recrutement'!M36</f>
        <v>0</v>
      </c>
      <c r="O66" s="19">
        <f>'Hypothèses de recrutement'!N36</f>
        <v>91630</v>
      </c>
      <c r="P66" s="19">
        <f>'Hypothèses de recrutement'!O36</f>
        <v>100800</v>
      </c>
      <c r="Q66" s="19">
        <f>'Hypothèses de recrutement'!P36</f>
        <v>101640</v>
      </c>
    </row>
    <row r="67" spans="2:17" ht="15.75" outlineLevel="1" x14ac:dyDescent="0.5">
      <c r="B67" s="20"/>
      <c r="C67" s="15" t="str">
        <f>'Hypothèses de recrutement'!C37</f>
        <v>Dev + community manager 3</v>
      </c>
      <c r="D67" s="20"/>
      <c r="E67" s="21"/>
      <c r="F67" s="20"/>
      <c r="G67" s="21"/>
      <c r="H67" s="19">
        <f>'Hypothèses de recrutement'!G37</f>
        <v>0</v>
      </c>
      <c r="I67" s="19">
        <f>'Hypothèses de recrutement'!H37</f>
        <v>0</v>
      </c>
      <c r="J67" s="19">
        <f>'Hypothèses de recrutement'!I37</f>
        <v>0</v>
      </c>
      <c r="K67" s="19">
        <f>'Hypothèses de recrutement'!J37</f>
        <v>0</v>
      </c>
      <c r="L67" s="19">
        <f>'Hypothèses de recrutement'!K37</f>
        <v>0</v>
      </c>
      <c r="M67" s="19">
        <f>'Hypothèses de recrutement'!L37</f>
        <v>0</v>
      </c>
      <c r="N67" s="19">
        <f>'Hypothèses de recrutement'!M37</f>
        <v>0</v>
      </c>
      <c r="O67" s="19">
        <f>'Hypothèses de recrutement'!N37</f>
        <v>41769</v>
      </c>
      <c r="P67" s="19">
        <f>'Hypothèses de recrutement'!O37</f>
        <v>56160</v>
      </c>
      <c r="Q67" s="19">
        <f>'Hypothèses de recrutement'!P37</f>
        <v>56628</v>
      </c>
    </row>
    <row r="68" spans="2:17" ht="15.75" outlineLevel="1" x14ac:dyDescent="0.5">
      <c r="B68" s="20"/>
      <c r="C68" s="15" t="str">
        <f>'Hypothèses de recrutement'!C38</f>
        <v>Resp études transitions num. 2</v>
      </c>
      <c r="D68" s="20"/>
      <c r="E68" s="21"/>
      <c r="F68" s="20"/>
      <c r="G68" s="21"/>
      <c r="H68" s="19">
        <f>'Hypothèses de recrutement'!G38</f>
        <v>0</v>
      </c>
      <c r="I68" s="19">
        <f>'Hypothèses de recrutement'!H38</f>
        <v>0</v>
      </c>
      <c r="J68" s="19">
        <f>'Hypothèses de recrutement'!I38</f>
        <v>0</v>
      </c>
      <c r="K68" s="19">
        <f>'Hypothèses de recrutement'!J38</f>
        <v>0</v>
      </c>
      <c r="L68" s="19">
        <f>'Hypothèses de recrutement'!K38</f>
        <v>0</v>
      </c>
      <c r="M68" s="19">
        <f>'Hypothèses de recrutement'!L38</f>
        <v>0</v>
      </c>
      <c r="N68" s="19">
        <f>'Hypothèses de recrutement'!M38</f>
        <v>0</v>
      </c>
      <c r="O68" s="19">
        <f>'Hypothèses de recrutement'!N38</f>
        <v>0</v>
      </c>
      <c r="P68" s="19">
        <f>'Hypothèses de recrutement'!O38</f>
        <v>0</v>
      </c>
      <c r="Q68" s="19">
        <f>'Hypothèses de recrutement'!P38</f>
        <v>40293</v>
      </c>
    </row>
    <row r="69" spans="2:17" ht="15.75" outlineLevel="1" x14ac:dyDescent="0.5">
      <c r="B69" s="20"/>
      <c r="C69" s="15"/>
      <c r="D69" s="20"/>
      <c r="E69" s="21"/>
      <c r="F69" s="20"/>
      <c r="G69" s="21"/>
      <c r="H69" s="19"/>
      <c r="I69" s="20"/>
      <c r="J69" s="19"/>
      <c r="K69" s="20"/>
      <c r="L69" s="19"/>
      <c r="M69" s="354"/>
      <c r="N69" s="20"/>
      <c r="O69" s="20"/>
      <c r="P69" s="19"/>
      <c r="Q69" s="20"/>
    </row>
    <row r="70" spans="2:17" ht="15.75" x14ac:dyDescent="0.5">
      <c r="B70" s="14"/>
      <c r="C70" s="69"/>
      <c r="D70" s="376"/>
      <c r="E70" s="21"/>
      <c r="F70" s="20"/>
      <c r="G70" s="329" t="s">
        <v>54</v>
      </c>
      <c r="H70" s="330">
        <f>SUMIF('Hypothèses de recrutement'!$F$5:$F$38,17%,'Hypothèses de recrutement'!G5:G38)</f>
        <v>0</v>
      </c>
      <c r="I70" s="330">
        <f>SUMIF('Hypothèses de recrutement'!$F$5:$F$38,17%,'Hypothèses de recrutement'!H5:H38)</f>
        <v>356071</v>
      </c>
      <c r="J70" s="330">
        <f>SUMIF('Hypothèses de recrutement'!$F$5:$F$38,17%,'Hypothèses de recrutement'!I5:I38)</f>
        <v>662288</v>
      </c>
      <c r="K70" s="344">
        <f>SUMIF('Hypothèses de recrutement'!$F$5:$F$38,17%,'Hypothèses de recrutement'!J5:J38)</f>
        <v>743271</v>
      </c>
      <c r="L70" s="330">
        <f>SUMIF('Hypothèses de recrutement'!$F$5:$F$38,17%,'Hypothèses de recrutement'!K5:K38)</f>
        <v>858816.00000000012</v>
      </c>
      <c r="M70" s="357">
        <f>SUMIF('Hypothèses de recrutement'!$F$5:$F$38,17%,'Hypothèses de recrutement'!L5:L38)</f>
        <v>953925</v>
      </c>
      <c r="N70" s="330">
        <f>SUMIF('Hypothèses de recrutement'!$F$5:$F$38,17%,'Hypothèses de recrutement'!M5:M38)</f>
        <v>1030887</v>
      </c>
      <c r="O70" s="330">
        <f>SUMIF('Hypothèses de recrutement'!$F$5:$F$38,17%,'Hypothèses de recrutement'!N5:N38)</f>
        <v>1063860</v>
      </c>
      <c r="P70" s="330">
        <f>SUMIF('Hypothèses de recrutement'!$F$5:$F$38,17%,'Hypothèses de recrutement'!O5:O38)</f>
        <v>1072800</v>
      </c>
      <c r="Q70" s="330">
        <f>SUMIF('Hypothèses de recrutement'!$F$5:$F$38,17%,'Hypothèses de recrutement'!P5:P38)</f>
        <v>1122033</v>
      </c>
    </row>
    <row r="71" spans="2:17" ht="15.75" x14ac:dyDescent="0.5">
      <c r="B71" s="14"/>
      <c r="C71" s="69"/>
      <c r="D71" s="377"/>
      <c r="E71" s="377"/>
      <c r="F71" s="20"/>
      <c r="G71" s="378" t="s">
        <v>270</v>
      </c>
      <c r="H71" s="330">
        <f>SUM(H72:H73)</f>
        <v>0</v>
      </c>
      <c r="I71" s="330">
        <f t="shared" ref="I71:Q71" si="7">SUM(I72:I73)</f>
        <v>64911.743300000009</v>
      </c>
      <c r="J71" s="330">
        <f t="shared" si="7"/>
        <v>120735.1024</v>
      </c>
      <c r="K71" s="344">
        <f t="shared" si="7"/>
        <v>135498.3033</v>
      </c>
      <c r="L71" s="330">
        <f t="shared" si="7"/>
        <v>354089.83680000011</v>
      </c>
      <c r="M71" s="357">
        <f t="shared" si="7"/>
        <v>393303.27750000003</v>
      </c>
      <c r="N71" s="330">
        <f t="shared" si="7"/>
        <v>425034.71010000003</v>
      </c>
      <c r="O71" s="330">
        <f t="shared" si="7"/>
        <v>438629.478</v>
      </c>
      <c r="P71" s="330">
        <f t="shared" si="7"/>
        <v>442315.44</v>
      </c>
      <c r="Q71" s="330">
        <f>SUM(Q72:Q73)</f>
        <v>462614.2059</v>
      </c>
    </row>
    <row r="72" spans="2:17" ht="15.75" hidden="1" outlineLevel="1" x14ac:dyDescent="0.5">
      <c r="B72" s="14"/>
      <c r="C72" s="70" t="s">
        <v>269</v>
      </c>
      <c r="D72" s="379"/>
      <c r="E72" s="21"/>
      <c r="F72" s="20"/>
      <c r="G72" s="21"/>
      <c r="H72" s="19">
        <f t="shared" ref="H72:K72" si="8">H70*17%</f>
        <v>0</v>
      </c>
      <c r="I72" s="19">
        <f t="shared" si="8"/>
        <v>60532.070000000007</v>
      </c>
      <c r="J72" s="19">
        <f t="shared" si="8"/>
        <v>112588.96</v>
      </c>
      <c r="K72" s="15">
        <f t="shared" si="8"/>
        <v>126356.07</v>
      </c>
      <c r="L72" s="19">
        <f>L70*40%</f>
        <v>343526.40000000008</v>
      </c>
      <c r="M72" s="354">
        <f t="shared" ref="M72:Q72" si="9">M70*40%</f>
        <v>381570</v>
      </c>
      <c r="N72" s="19">
        <f t="shared" si="9"/>
        <v>412354.80000000005</v>
      </c>
      <c r="O72" s="19">
        <f t="shared" si="9"/>
        <v>425544</v>
      </c>
      <c r="P72" s="19">
        <f t="shared" si="9"/>
        <v>429120</v>
      </c>
      <c r="Q72" s="19">
        <f t="shared" si="9"/>
        <v>448813.2</v>
      </c>
    </row>
    <row r="73" spans="2:17" ht="15.75" hidden="1" outlineLevel="1" x14ac:dyDescent="0.5">
      <c r="B73" s="14"/>
      <c r="C73" s="15" t="s">
        <v>56</v>
      </c>
      <c r="D73" s="376"/>
      <c r="E73" s="21"/>
      <c r="F73" s="20"/>
      <c r="G73" s="21"/>
      <c r="H73" s="19">
        <f>1.23%*H70</f>
        <v>0</v>
      </c>
      <c r="I73" s="19">
        <f t="shared" ref="I73:Q73" si="10">1.23%*I70</f>
        <v>4379.6733000000004</v>
      </c>
      <c r="J73" s="19">
        <f t="shared" si="10"/>
        <v>8146.1423999999997</v>
      </c>
      <c r="K73" s="15">
        <f t="shared" si="10"/>
        <v>9142.2332999999999</v>
      </c>
      <c r="L73" s="19">
        <f t="shared" si="10"/>
        <v>10563.436800000001</v>
      </c>
      <c r="M73" s="354">
        <f t="shared" si="10"/>
        <v>11733.2775</v>
      </c>
      <c r="N73" s="19">
        <f t="shared" si="10"/>
        <v>12679.910100000001</v>
      </c>
      <c r="O73" s="19">
        <f t="shared" si="10"/>
        <v>13085.478000000001</v>
      </c>
      <c r="P73" s="19">
        <f t="shared" si="10"/>
        <v>13195.44</v>
      </c>
      <c r="Q73" s="19">
        <f t="shared" si="10"/>
        <v>13801.0059</v>
      </c>
    </row>
    <row r="74" spans="2:17" ht="15.75" collapsed="1" x14ac:dyDescent="0.5">
      <c r="B74" s="14"/>
      <c r="C74" s="69"/>
      <c r="D74" s="376"/>
      <c r="E74" s="21"/>
      <c r="F74" s="20"/>
      <c r="G74" s="329" t="s">
        <v>55</v>
      </c>
      <c r="H74" s="330">
        <f>SUMIF('Hypothèses de recrutement'!$F$5:$F$38,40%,'Hypothèses de recrutement'!G5:G38)</f>
        <v>0</v>
      </c>
      <c r="I74" s="330">
        <f>SUMIF('Hypothèses de recrutement'!$F$5:$F$38,40%,'Hypothèses de recrutement'!H5:H38)</f>
        <v>106193</v>
      </c>
      <c r="J74" s="330">
        <f>SUMIF('Hypothèses de recrutement'!$F$5:$F$38,40%,'Hypothèses de recrutement'!I5:I38)</f>
        <v>251008</v>
      </c>
      <c r="K74" s="344">
        <f>SUMIF('Hypothèses de recrutement'!$F$5:$F$38,40%,'Hypothèses de recrutement'!J5:J38)</f>
        <v>542057</v>
      </c>
      <c r="L74" s="330">
        <f>SUMIF('Hypothèses de recrutement'!$F$5:$F$38,40%,'Hypothèses de recrutement'!K5:K38)</f>
        <v>870800</v>
      </c>
      <c r="M74" s="357">
        <f>SUMIF('Hypothèses de recrutement'!$F$5:$F$38,40%,'Hypothèses de recrutement'!L5:L38)</f>
        <v>1073985</v>
      </c>
      <c r="N74" s="330">
        <f>SUMIF('Hypothèses de recrutement'!$F$5:$F$38,40%,'Hypothèses de recrutement'!M5:M38)</f>
        <v>1215396</v>
      </c>
      <c r="O74" s="330">
        <f>SUMIF('Hypothèses de recrutement'!$F$5:$F$38,40%,'Hypothèses de recrutement'!N5:N38)</f>
        <v>1398607</v>
      </c>
      <c r="P74" s="330">
        <f>SUMIF('Hypothèses de recrutement'!$F$5:$F$38,40%,'Hypothèses de recrutement'!O5:O38)</f>
        <v>1432800</v>
      </c>
      <c r="Q74" s="330">
        <f>SUMIF('Hypothèses de recrutement'!$F$5:$F$38,40%,'Hypothèses de recrutement'!P5:P38)</f>
        <v>1444740</v>
      </c>
    </row>
    <row r="75" spans="2:17" ht="15.75" x14ac:dyDescent="0.5">
      <c r="B75" s="14"/>
      <c r="C75" s="69"/>
      <c r="D75" s="377"/>
      <c r="E75" s="377"/>
      <c r="F75" s="20"/>
      <c r="G75" s="378" t="s">
        <v>270</v>
      </c>
      <c r="H75" s="330">
        <f>SUM(H76:H77)</f>
        <v>0</v>
      </c>
      <c r="I75" s="330">
        <f t="shared" ref="I75:Q75" si="11">SUM(I76:I77)</f>
        <v>48163.047200000001</v>
      </c>
      <c r="J75" s="330">
        <f t="shared" si="11"/>
        <v>111636.74080000001</v>
      </c>
      <c r="K75" s="344">
        <f t="shared" si="11"/>
        <v>232632.33440000002</v>
      </c>
      <c r="L75" s="330">
        <f t="shared" si="11"/>
        <v>369594.27679999999</v>
      </c>
      <c r="M75" s="357">
        <f t="shared" si="11"/>
        <v>454537.29300000001</v>
      </c>
      <c r="N75" s="330">
        <f t="shared" si="11"/>
        <v>513787.68090000004</v>
      </c>
      <c r="O75" s="330">
        <f t="shared" si="11"/>
        <v>589731.14410000003</v>
      </c>
      <c r="P75" s="330">
        <f t="shared" si="11"/>
        <v>603938.88</v>
      </c>
      <c r="Q75" s="330">
        <f t="shared" si="11"/>
        <v>609467.30790000001</v>
      </c>
    </row>
    <row r="76" spans="2:17" ht="15.75" hidden="1" outlineLevel="1" x14ac:dyDescent="0.5">
      <c r="B76" s="14"/>
      <c r="C76" s="70" t="s">
        <v>268</v>
      </c>
      <c r="D76" s="376"/>
      <c r="E76" s="21"/>
      <c r="F76" s="20"/>
      <c r="G76" s="21"/>
      <c r="H76" s="19">
        <f>40%*H74</f>
        <v>0</v>
      </c>
      <c r="I76" s="19">
        <f t="shared" ref="I76:Q76" si="12">40%*I74</f>
        <v>42477.200000000004</v>
      </c>
      <c r="J76" s="19">
        <f t="shared" si="12"/>
        <v>100403.20000000001</v>
      </c>
      <c r="K76" s="15">
        <f t="shared" si="12"/>
        <v>216822.80000000002</v>
      </c>
      <c r="L76" s="19">
        <f t="shared" si="12"/>
        <v>348320</v>
      </c>
      <c r="M76" s="354">
        <f t="shared" si="12"/>
        <v>429594</v>
      </c>
      <c r="N76" s="19">
        <f t="shared" si="12"/>
        <v>486158.4</v>
      </c>
      <c r="O76" s="19">
        <f t="shared" si="12"/>
        <v>559442.80000000005</v>
      </c>
      <c r="P76" s="19">
        <f t="shared" si="12"/>
        <v>573120</v>
      </c>
      <c r="Q76" s="19">
        <f t="shared" si="12"/>
        <v>577896</v>
      </c>
    </row>
    <row r="77" spans="2:17" ht="15.75" hidden="1" outlineLevel="1" x14ac:dyDescent="0.5">
      <c r="B77" s="20"/>
      <c r="C77" s="15" t="s">
        <v>56</v>
      </c>
      <c r="D77" s="20"/>
      <c r="E77" s="21"/>
      <c r="F77" s="20"/>
      <c r="G77" s="21"/>
      <c r="H77" s="19">
        <f t="shared" ref="H77:Q77" si="13">1.23%*(H70+H74)</f>
        <v>0</v>
      </c>
      <c r="I77" s="19">
        <f t="shared" si="13"/>
        <v>5685.8472000000002</v>
      </c>
      <c r="J77" s="19">
        <f t="shared" si="13"/>
        <v>11233.540800000001</v>
      </c>
      <c r="K77" s="15">
        <f t="shared" si="13"/>
        <v>15809.5344</v>
      </c>
      <c r="L77" s="19">
        <f t="shared" si="13"/>
        <v>21274.2768</v>
      </c>
      <c r="M77" s="354">
        <f t="shared" si="13"/>
        <v>24943.293000000001</v>
      </c>
      <c r="N77" s="19">
        <f t="shared" si="13"/>
        <v>27629.280900000002</v>
      </c>
      <c r="O77" s="19">
        <f t="shared" si="13"/>
        <v>30288.344100000002</v>
      </c>
      <c r="P77" s="19">
        <f t="shared" si="13"/>
        <v>30818.880000000001</v>
      </c>
      <c r="Q77" s="19">
        <f t="shared" si="13"/>
        <v>31571.3079</v>
      </c>
    </row>
    <row r="78" spans="2:17" ht="15.75" collapsed="1" x14ac:dyDescent="0.5">
      <c r="B78" s="20"/>
      <c r="C78" s="15"/>
      <c r="D78" s="20"/>
      <c r="E78" s="21"/>
      <c r="F78" s="20"/>
      <c r="G78" s="21"/>
      <c r="H78" s="19"/>
      <c r="I78" s="20"/>
      <c r="J78" s="19"/>
      <c r="K78" s="20"/>
      <c r="L78" s="19"/>
      <c r="M78" s="354"/>
      <c r="N78" s="20"/>
      <c r="O78" s="20"/>
      <c r="P78" s="19"/>
      <c r="Q78" s="20"/>
    </row>
    <row r="79" spans="2:17" ht="15.75" x14ac:dyDescent="0.5">
      <c r="B79" s="20"/>
      <c r="C79" s="39"/>
      <c r="D79" s="20"/>
      <c r="E79" s="21"/>
      <c r="F79" s="20"/>
      <c r="G79" s="16" t="s">
        <v>18</v>
      </c>
      <c r="H79" s="40">
        <f>H70+H74+H77+H72+H76+H73</f>
        <v>0</v>
      </c>
      <c r="I79" s="40">
        <f t="shared" ref="I79:Q79" si="14">I70+I74+I77+I72+I76+I73</f>
        <v>575338.7905</v>
      </c>
      <c r="J79" s="40">
        <f>J70+J74+J77+J72+J76+J73</f>
        <v>1145667.8432</v>
      </c>
      <c r="K79" s="39">
        <f t="shared" si="14"/>
        <v>1653458.6377000001</v>
      </c>
      <c r="L79" s="40">
        <f t="shared" si="14"/>
        <v>2453300.1136000003</v>
      </c>
      <c r="M79" s="356">
        <f t="shared" si="14"/>
        <v>2875750.5704999999</v>
      </c>
      <c r="N79" s="40">
        <f t="shared" si="14"/>
        <v>3185105.3910000003</v>
      </c>
      <c r="O79" s="40">
        <f t="shared" si="14"/>
        <v>3490827.6221000003</v>
      </c>
      <c r="P79" s="40">
        <f t="shared" si="14"/>
        <v>3551854.32</v>
      </c>
      <c r="Q79" s="40">
        <f t="shared" si="14"/>
        <v>3638854.5138000003</v>
      </c>
    </row>
    <row r="80" spans="2:17" ht="15.75" x14ac:dyDescent="0.5">
      <c r="B80" s="20"/>
      <c r="C80" s="15"/>
      <c r="D80" s="20"/>
      <c r="E80" s="21"/>
      <c r="F80" s="20"/>
      <c r="G80" s="21"/>
      <c r="H80" s="19"/>
      <c r="I80" s="20"/>
      <c r="J80" s="19"/>
      <c r="K80" s="20"/>
      <c r="L80" s="19"/>
      <c r="M80" s="354"/>
      <c r="N80" s="20"/>
      <c r="O80" s="20"/>
      <c r="P80" s="19"/>
      <c r="Q80" s="20"/>
    </row>
    <row r="81" spans="2:17" ht="15.75" outlineLevel="1" x14ac:dyDescent="0.5">
      <c r="B81" s="20"/>
      <c r="C81" s="15" t="s">
        <v>19</v>
      </c>
      <c r="D81" s="20"/>
      <c r="E81" s="21"/>
      <c r="F81" s="20"/>
      <c r="G81" s="21"/>
      <c r="H81" s="19">
        <f>'Hypothèses de coûts'!D12*'Compte de résultat'!H12</f>
        <v>0</v>
      </c>
      <c r="I81" s="19">
        <f>'Hypothèses de coûts'!E12*'Compte de résultat'!I12</f>
        <v>0</v>
      </c>
      <c r="J81" s="19">
        <f>'Hypothèses de coûts'!F12*'Compte de résultat'!J12</f>
        <v>7140</v>
      </c>
      <c r="K81" s="15">
        <f>'Hypothèses de coûts'!G12*'Compte de résultat'!K12</f>
        <v>18700</v>
      </c>
      <c r="L81" s="19">
        <f>'Hypothèses de coûts'!H12*'Compte de résultat'!L12</f>
        <v>40800</v>
      </c>
      <c r="M81" s="354">
        <f>'Hypothèses de coûts'!I12*'Compte de résultat'!M12</f>
        <v>68000</v>
      </c>
      <c r="N81" s="19">
        <f>'Hypothèses de coûts'!J12*'Compte de résultat'!N12</f>
        <v>92480</v>
      </c>
      <c r="O81" s="19">
        <f>'Hypothèses de coûts'!K12*'Compte de résultat'!O12</f>
        <v>112880</v>
      </c>
      <c r="P81" s="19">
        <f>'Hypothèses de coûts'!L12*'Compte de résultat'!P12</f>
        <v>126480</v>
      </c>
      <c r="Q81" s="19">
        <f>'Hypothèses de coûts'!M12*'Compte de résultat'!Q12</f>
        <v>134980</v>
      </c>
    </row>
    <row r="82" spans="2:17" ht="15.75" outlineLevel="1" x14ac:dyDescent="0.5">
      <c r="B82" s="20"/>
      <c r="C82" s="15" t="s">
        <v>20</v>
      </c>
      <c r="D82" s="20"/>
      <c r="E82" s="21"/>
      <c r="F82" s="20"/>
      <c r="G82" s="21"/>
      <c r="H82" s="19">
        <f>12*(200+('Hypothèses de coûts'!D13*'Hypothèses de recrutement'!G39))</f>
        <v>2400</v>
      </c>
      <c r="I82" s="19">
        <f>12*(200+('Hypothèses de coûts'!E13*'Hypothèses de recrutement'!H39))</f>
        <v>6360</v>
      </c>
      <c r="J82" s="19">
        <f>12*(200+('Hypothèses de coûts'!F13*'Hypothèses de recrutement'!I39))</f>
        <v>9240</v>
      </c>
      <c r="K82" s="15">
        <f>12*(200+('Hypothèses de coûts'!G13*'Hypothèses de recrutement'!J39))</f>
        <v>9960</v>
      </c>
      <c r="L82" s="19">
        <f>12*(200+('Hypothèses de coûts'!H13*'Hypothèses de recrutement'!K39))</f>
        <v>11760</v>
      </c>
      <c r="M82" s="354">
        <f>12*(200+('Hypothèses de coûts'!I13*'Hypothèses de recrutement'!L39))</f>
        <v>12480</v>
      </c>
      <c r="N82" s="19">
        <f>12*(200+('Hypothèses de coûts'!J13*'Hypothèses de recrutement'!M39))</f>
        <v>13560</v>
      </c>
      <c r="O82" s="19">
        <f>12*(200+('Hypothèses de coûts'!K13*'Hypothèses de recrutement'!N39))</f>
        <v>14280</v>
      </c>
      <c r="P82" s="19">
        <f>12*(200+('Hypothèses de coûts'!L13*'Hypothèses de recrutement'!O39))</f>
        <v>14280</v>
      </c>
      <c r="Q82" s="19">
        <f>12*(200+('Hypothèses de coûts'!M13*'Hypothèses de recrutement'!P39))</f>
        <v>14640</v>
      </c>
    </row>
    <row r="83" spans="2:17" ht="15.75" outlineLevel="1" x14ac:dyDescent="0.5">
      <c r="B83" s="20"/>
      <c r="C83" s="15" t="s">
        <v>80</v>
      </c>
      <c r="D83" s="20"/>
      <c r="E83" s="21"/>
      <c r="F83" s="20"/>
      <c r="G83" s="21"/>
      <c r="H83" s="19">
        <f>12*('Hypothèses de coûts'!D14*'Hypothèses de recrutement'!G39)</f>
        <v>0</v>
      </c>
      <c r="I83" s="19">
        <f>12*('Hypothèses de coûts'!E14*'Hypothèses de recrutement'!H39)</f>
        <v>3300</v>
      </c>
      <c r="J83" s="19">
        <f>12*('Hypothèses de coûts'!F14*'Hypothèses de recrutement'!I39)</f>
        <v>5016</v>
      </c>
      <c r="K83" s="15">
        <f>12*('Hypothèses de coûts'!G14*'Hypothèses de recrutement'!J39)</f>
        <v>5544</v>
      </c>
      <c r="L83" s="19">
        <f>12*('Hypothèses de coûts'!H14*'Hypothèses de recrutement'!K39)</f>
        <v>6864</v>
      </c>
      <c r="M83" s="354">
        <f>12*('Hypothèses de coûts'!I14*'Hypothèses de recrutement'!L39)</f>
        <v>7392</v>
      </c>
      <c r="N83" s="19">
        <f>12*('Hypothèses de coûts'!J14*'Hypothèses de recrutement'!M39)</f>
        <v>8184</v>
      </c>
      <c r="O83" s="19">
        <f>12*('Hypothèses de coûts'!K14*'Hypothèses de recrutement'!N39)</f>
        <v>8712</v>
      </c>
      <c r="P83" s="19">
        <f>12*('Hypothèses de coûts'!L14*'Hypothèses de recrutement'!O39)</f>
        <v>8712</v>
      </c>
      <c r="Q83" s="19">
        <f>12*('Hypothèses de coûts'!M14*'Hypothèses de recrutement'!P39)</f>
        <v>8976</v>
      </c>
    </row>
    <row r="84" spans="2:17" ht="15.75" outlineLevel="1" x14ac:dyDescent="0.5">
      <c r="B84" s="20"/>
      <c r="C84" s="15" t="s">
        <v>21</v>
      </c>
      <c r="D84" s="20"/>
      <c r="E84" s="21"/>
      <c r="F84" s="20"/>
      <c r="G84" s="21"/>
      <c r="H84" s="19">
        <f>'Hypothèses de coûts'!D15*'Hypothèses de recrutement'!G39*12</f>
        <v>0</v>
      </c>
      <c r="I84" s="19">
        <f>'Hypothèses de coûts'!E15*'Hypothèses de recrutement'!H39*12</f>
        <v>1980</v>
      </c>
      <c r="J84" s="19">
        <f>'Hypothèses de coûts'!F15*'Hypothèses de recrutement'!I39*12</f>
        <v>3420</v>
      </c>
      <c r="K84" s="15">
        <f>'Hypothèses de coûts'!G15*'Hypothèses de recrutement'!J39*12</f>
        <v>3780</v>
      </c>
      <c r="L84" s="19">
        <f>'Hypothèses de coûts'!H15*'Hypothèses de recrutement'!K39*12</f>
        <v>4680</v>
      </c>
      <c r="M84" s="354">
        <f>'Hypothèses de coûts'!I15*'Hypothèses de recrutement'!L39*12</f>
        <v>5040</v>
      </c>
      <c r="N84" s="19">
        <f>'Hypothèses de coûts'!J15*'Hypothèses de recrutement'!M39*12</f>
        <v>5580</v>
      </c>
      <c r="O84" s="19">
        <f>'Hypothèses de coûts'!K15*'Hypothèses de recrutement'!N39*12</f>
        <v>5940</v>
      </c>
      <c r="P84" s="19">
        <f>'Hypothèses de coûts'!L15*'Hypothèses de recrutement'!O39*12</f>
        <v>5940</v>
      </c>
      <c r="Q84" s="19">
        <f>'Hypothèses de coûts'!M15*'Hypothèses de recrutement'!P39*12</f>
        <v>6120</v>
      </c>
    </row>
    <row r="85" spans="2:17" ht="15.75" outlineLevel="1" x14ac:dyDescent="0.5">
      <c r="B85" s="20"/>
      <c r="C85" s="15" t="s">
        <v>192</v>
      </c>
      <c r="D85" s="20"/>
      <c r="E85" s="21"/>
      <c r="F85" s="20"/>
      <c r="G85" s="21"/>
      <c r="H85" s="19">
        <f>'Balance Sheet'!I12*'Hypothèses de coûts'!D16</f>
        <v>0</v>
      </c>
      <c r="I85" s="19">
        <f>'Balance Sheet'!J12*'Hypothèses de coûts'!E16</f>
        <v>4750</v>
      </c>
      <c r="J85" s="19">
        <f>'Balance Sheet'!K12*'Hypothèses de coûts'!F16</f>
        <v>8000</v>
      </c>
      <c r="K85" s="15">
        <f>'Balance Sheet'!L12*'Hypothèses de coûts'!G16</f>
        <v>8750</v>
      </c>
      <c r="L85" s="19">
        <f>'Balance Sheet'!M12*'Hypothèses de coûts'!H16</f>
        <v>10500</v>
      </c>
      <c r="M85" s="354">
        <f>'Balance Sheet'!N12*'Hypothèses de coûts'!I16</f>
        <v>11250</v>
      </c>
      <c r="N85" s="19">
        <f>'Balance Sheet'!O12*'Hypothèses de coûts'!J16</f>
        <v>12250</v>
      </c>
      <c r="O85" s="19">
        <f>'Balance Sheet'!P12*'Hypothèses de coûts'!K16</f>
        <v>12750</v>
      </c>
      <c r="P85" s="19">
        <f>'Balance Sheet'!Q12*'Hypothèses de coûts'!L16</f>
        <v>12750</v>
      </c>
      <c r="Q85" s="19">
        <f>'Balance Sheet'!R12*'Hypothèses de coûts'!M16</f>
        <v>13250</v>
      </c>
    </row>
    <row r="86" spans="2:17" ht="15.75" outlineLevel="1" x14ac:dyDescent="0.5">
      <c r="B86" s="20"/>
      <c r="C86" s="15" t="s">
        <v>22</v>
      </c>
      <c r="D86" s="20"/>
      <c r="E86" s="21"/>
      <c r="F86" s="20"/>
      <c r="G86" s="21"/>
      <c r="H86" s="19">
        <f>H12*'Hypothèses de coûts'!D17</f>
        <v>0</v>
      </c>
      <c r="I86" s="19">
        <f>I12*'Hypothèses de coûts'!E17</f>
        <v>0</v>
      </c>
      <c r="J86" s="19">
        <f>J12*'Hypothèses de coûts'!F17</f>
        <v>3060</v>
      </c>
      <c r="K86" s="15">
        <f>K12*'Hypothèses de coûts'!G17</f>
        <v>7480</v>
      </c>
      <c r="L86" s="19">
        <f>L12*'Hypothèses de coûts'!H17</f>
        <v>16320</v>
      </c>
      <c r="M86" s="354">
        <f>M12*'Hypothèses de coûts'!I17</f>
        <v>27200</v>
      </c>
      <c r="N86" s="19">
        <f>N12*'Hypothèses de coûts'!J17</f>
        <v>36992</v>
      </c>
      <c r="O86" s="19">
        <f>O12*'Hypothèses de coûts'!K17</f>
        <v>45152</v>
      </c>
      <c r="P86" s="19">
        <f>P12*'Hypothèses de coûts'!L17</f>
        <v>50592</v>
      </c>
      <c r="Q86" s="19">
        <f>Q12*'Hypothèses de coûts'!M17</f>
        <v>53992</v>
      </c>
    </row>
    <row r="87" spans="2:17" ht="15.75" outlineLevel="1" x14ac:dyDescent="0.5">
      <c r="B87" s="20"/>
      <c r="C87" s="15"/>
      <c r="D87" s="20"/>
      <c r="E87" s="21"/>
      <c r="F87" s="20"/>
      <c r="G87" s="21"/>
      <c r="H87" s="19"/>
      <c r="I87" s="20"/>
      <c r="J87" s="19"/>
      <c r="K87" s="20"/>
      <c r="L87" s="19"/>
      <c r="M87" s="354"/>
      <c r="N87" s="20"/>
      <c r="O87" s="20"/>
      <c r="P87" s="19"/>
      <c r="Q87" s="20"/>
    </row>
    <row r="88" spans="2:17" ht="15.75" x14ac:dyDescent="0.5">
      <c r="B88" s="20"/>
      <c r="C88" s="39"/>
      <c r="D88" s="20"/>
      <c r="E88" s="21"/>
      <c r="F88" s="20"/>
      <c r="G88" s="16" t="s">
        <v>23</v>
      </c>
      <c r="H88" s="40">
        <f t="shared" ref="H88:Q88" si="15">SUM(H81:H86)</f>
        <v>2400</v>
      </c>
      <c r="I88" s="40">
        <f t="shared" si="15"/>
        <v>16390</v>
      </c>
      <c r="J88" s="40">
        <f t="shared" si="15"/>
        <v>35876</v>
      </c>
      <c r="K88" s="39">
        <f t="shared" si="15"/>
        <v>54214</v>
      </c>
      <c r="L88" s="40">
        <f t="shared" si="15"/>
        <v>90924</v>
      </c>
      <c r="M88" s="356">
        <f t="shared" si="15"/>
        <v>131362</v>
      </c>
      <c r="N88" s="40">
        <f t="shared" si="15"/>
        <v>169046</v>
      </c>
      <c r="O88" s="40">
        <f t="shared" si="15"/>
        <v>199714</v>
      </c>
      <c r="P88" s="40">
        <f t="shared" si="15"/>
        <v>218754</v>
      </c>
      <c r="Q88" s="40">
        <f t="shared" si="15"/>
        <v>231958</v>
      </c>
    </row>
    <row r="89" spans="2:17" ht="15.75" x14ac:dyDescent="0.5">
      <c r="B89" s="20"/>
      <c r="C89" s="39"/>
      <c r="D89" s="20"/>
      <c r="E89" s="21"/>
      <c r="F89" s="20"/>
      <c r="G89" s="21"/>
      <c r="H89" s="40"/>
      <c r="I89" s="14"/>
      <c r="J89" s="40"/>
      <c r="K89" s="14"/>
      <c r="L89" s="40"/>
      <c r="M89" s="356"/>
      <c r="N89" s="14"/>
      <c r="O89" s="14"/>
      <c r="P89" s="40"/>
      <c r="Q89" s="14"/>
    </row>
    <row r="90" spans="2:17" ht="15.75" hidden="1" outlineLevel="1" x14ac:dyDescent="0.5">
      <c r="B90" s="20"/>
      <c r="C90" s="15">
        <f>'Hypothèses de coûts'!C22</f>
        <v>0</v>
      </c>
      <c r="D90" s="20"/>
      <c r="E90" s="21"/>
      <c r="F90" s="20"/>
      <c r="G90" s="21"/>
      <c r="H90" s="19">
        <f>'Hypothèses de coûts'!D22</f>
        <v>0</v>
      </c>
      <c r="I90" s="19">
        <f>'Hypothèses de coûts'!E22</f>
        <v>0</v>
      </c>
      <c r="J90" s="19">
        <f>'Hypothèses de coûts'!F22</f>
        <v>0</v>
      </c>
      <c r="K90" s="15">
        <f>'Hypothèses de coûts'!G22</f>
        <v>0</v>
      </c>
      <c r="L90" s="19">
        <f>'Hypothèses de coûts'!H22</f>
        <v>0</v>
      </c>
      <c r="M90" s="354">
        <f>'Hypothèses de coûts'!I22</f>
        <v>0</v>
      </c>
      <c r="N90" s="19">
        <f>'Hypothèses de coûts'!J22</f>
        <v>0</v>
      </c>
      <c r="O90" s="19">
        <f>'Hypothèses de coûts'!K22</f>
        <v>0</v>
      </c>
      <c r="P90" s="19">
        <f>'Hypothèses de coûts'!L22</f>
        <v>0</v>
      </c>
      <c r="Q90" s="19">
        <f>'Hypothèses de coûts'!M22</f>
        <v>0</v>
      </c>
    </row>
    <row r="91" spans="2:17" ht="15.75" hidden="1" outlineLevel="1" x14ac:dyDescent="0.5">
      <c r="B91" s="20"/>
      <c r="C91" s="15" t="str">
        <f>'Hypothèses de coûts'!C23</f>
        <v>Budget Google Adwords</v>
      </c>
      <c r="D91" s="20"/>
      <c r="E91" s="21"/>
      <c r="F91" s="20"/>
      <c r="G91" s="21"/>
      <c r="H91" s="19">
        <f>'Hypothèses de coûts'!D23</f>
        <v>0</v>
      </c>
      <c r="I91" s="19">
        <f>'Hypothèses de coûts'!E23</f>
        <v>0</v>
      </c>
      <c r="J91" s="19">
        <f>'Hypothèses de coûts'!F23</f>
        <v>15000</v>
      </c>
      <c r="K91" s="15">
        <f>'Hypothèses de coûts'!G23</f>
        <v>40000</v>
      </c>
      <c r="L91" s="19">
        <f>'Hypothèses de coûts'!H23</f>
        <v>170000</v>
      </c>
      <c r="M91" s="354">
        <f>'Hypothèses de coûts'!I23</f>
        <v>255000</v>
      </c>
      <c r="N91" s="19">
        <f>'Hypothèses de coûts'!J23</f>
        <v>382500</v>
      </c>
      <c r="O91" s="19">
        <f>'Hypothèses de coûts'!K23</f>
        <v>459000</v>
      </c>
      <c r="P91" s="19">
        <f>'Hypothèses de coûts'!L23</f>
        <v>550800</v>
      </c>
      <c r="Q91" s="19">
        <f>'Hypothèses de coûts'!M23</f>
        <v>660960</v>
      </c>
    </row>
    <row r="92" spans="2:17" ht="15.75" hidden="1" outlineLevel="1" x14ac:dyDescent="0.5">
      <c r="B92" s="20"/>
      <c r="C92" s="15" t="str">
        <f>'Hypothèses de coûts'!C24</f>
        <v>Budget FB ads</v>
      </c>
      <c r="D92" s="20"/>
      <c r="E92" s="21"/>
      <c r="F92" s="20"/>
      <c r="G92" s="21"/>
      <c r="H92" s="19">
        <f>'Hypothèses de coûts'!D24</f>
        <v>0</v>
      </c>
      <c r="I92" s="19">
        <f>'Hypothèses de coûts'!E24</f>
        <v>0</v>
      </c>
      <c r="J92" s="19">
        <f>'Hypothèses de coûts'!F24</f>
        <v>15000</v>
      </c>
      <c r="K92" s="15">
        <f>'Hypothèses de coûts'!G24</f>
        <v>40000</v>
      </c>
      <c r="L92" s="19">
        <f>'Hypothèses de coûts'!H24</f>
        <v>170000</v>
      </c>
      <c r="M92" s="354">
        <f>'Hypothèses de coûts'!I24</f>
        <v>255000</v>
      </c>
      <c r="N92" s="19">
        <f>'Hypothèses de coûts'!J24</f>
        <v>382500</v>
      </c>
      <c r="O92" s="19">
        <f>'Hypothèses de coûts'!K24</f>
        <v>459000</v>
      </c>
      <c r="P92" s="19">
        <f>'Hypothèses de coûts'!L24</f>
        <v>550800</v>
      </c>
      <c r="Q92" s="19">
        <f>'Hypothèses de coûts'!M24</f>
        <v>660960</v>
      </c>
    </row>
    <row r="93" spans="2:17" ht="15.75" hidden="1" outlineLevel="1" x14ac:dyDescent="0.5">
      <c r="B93" s="20"/>
      <c r="C93" s="15" t="str">
        <f>'Hypothèses de coûts'!C25</f>
        <v>Budget Instagram ads</v>
      </c>
      <c r="D93" s="20"/>
      <c r="E93" s="21"/>
      <c r="F93" s="20"/>
      <c r="G93" s="21"/>
      <c r="H93" s="19">
        <f>'Hypothèses de coûts'!D25</f>
        <v>0</v>
      </c>
      <c r="I93" s="19">
        <f>'Hypothèses de coûts'!E25</f>
        <v>0</v>
      </c>
      <c r="J93" s="19">
        <f>'Hypothèses de coûts'!F25</f>
        <v>15000</v>
      </c>
      <c r="K93" s="15">
        <f>'Hypothèses de coûts'!G25</f>
        <v>40000</v>
      </c>
      <c r="L93" s="19">
        <f>'Hypothèses de coûts'!H25</f>
        <v>170000</v>
      </c>
      <c r="M93" s="354">
        <f>'Hypothèses de coûts'!I25</f>
        <v>255000</v>
      </c>
      <c r="N93" s="19">
        <f>'Hypothèses de coûts'!J25</f>
        <v>382500</v>
      </c>
      <c r="O93" s="19">
        <f>'Hypothèses de coûts'!K25</f>
        <v>459000</v>
      </c>
      <c r="P93" s="19">
        <f>'Hypothèses de coûts'!L25</f>
        <v>550800</v>
      </c>
      <c r="Q93" s="19">
        <f>'Hypothèses de coûts'!M25</f>
        <v>660960</v>
      </c>
    </row>
    <row r="94" spans="2:17" ht="15.75" hidden="1" outlineLevel="1" x14ac:dyDescent="0.5">
      <c r="B94" s="20"/>
      <c r="C94" s="15" t="str">
        <f>'Hypothèses de coûts'!C26</f>
        <v>Budhet Youtube</v>
      </c>
      <c r="D94" s="20"/>
      <c r="E94" s="21"/>
      <c r="F94" s="20"/>
      <c r="G94" s="21"/>
      <c r="H94" s="19">
        <f>'Hypothèses de coûts'!D26</f>
        <v>0</v>
      </c>
      <c r="I94" s="19">
        <f>'Hypothèses de coûts'!E26</f>
        <v>0</v>
      </c>
      <c r="J94" s="19">
        <f>'Hypothèses de coûts'!F26</f>
        <v>15000</v>
      </c>
      <c r="K94" s="15">
        <f>'Hypothèses de coûts'!G26</f>
        <v>40000</v>
      </c>
      <c r="L94" s="19">
        <f>'Hypothèses de coûts'!H26</f>
        <v>170000</v>
      </c>
      <c r="M94" s="354">
        <f>'Hypothèses de coûts'!I26</f>
        <v>255000</v>
      </c>
      <c r="N94" s="19">
        <f>'Hypothèses de coûts'!J26</f>
        <v>382500</v>
      </c>
      <c r="O94" s="19">
        <f>'Hypothèses de coûts'!K26</f>
        <v>459000</v>
      </c>
      <c r="P94" s="19">
        <f>'Hypothèses de coûts'!L26</f>
        <v>550800</v>
      </c>
      <c r="Q94" s="19">
        <f>'Hypothèses de coûts'!M26</f>
        <v>660960</v>
      </c>
    </row>
    <row r="95" spans="2:17" ht="15.75" hidden="1" outlineLevel="1" x14ac:dyDescent="0.5">
      <c r="B95" s="20"/>
      <c r="C95" s="15" t="str">
        <f>'Hypothèses de coûts'!C27</f>
        <v>Budget affichage</v>
      </c>
      <c r="D95" s="20"/>
      <c r="E95" s="21"/>
      <c r="F95" s="20"/>
      <c r="G95" s="21"/>
      <c r="H95" s="19">
        <f>'Hypothèses de coûts'!D27</f>
        <v>0</v>
      </c>
      <c r="I95" s="19">
        <f>'Hypothèses de coûts'!E27</f>
        <v>0</v>
      </c>
      <c r="J95" s="19">
        <f>'Hypothèses de coûts'!F27</f>
        <v>50000</v>
      </c>
      <c r="K95" s="15">
        <f>'Hypothèses de coûts'!G27</f>
        <v>100000</v>
      </c>
      <c r="L95" s="19">
        <f>'Hypothèses de coûts'!H27</f>
        <v>290000</v>
      </c>
      <c r="M95" s="354">
        <f>'Hypothèses de coûts'!I27</f>
        <v>435000</v>
      </c>
      <c r="N95" s="19">
        <f>'Hypothèses de coûts'!J27</f>
        <v>652500</v>
      </c>
      <c r="O95" s="19">
        <f>'Hypothèses de coûts'!K27</f>
        <v>783000</v>
      </c>
      <c r="P95" s="19">
        <f>'Hypothèses de coûts'!L27</f>
        <v>939600</v>
      </c>
      <c r="Q95" s="19">
        <f>'Hypothèses de coûts'!M27</f>
        <v>1127520</v>
      </c>
    </row>
    <row r="96" spans="2:17" ht="15.75" hidden="1" outlineLevel="1" x14ac:dyDescent="0.5">
      <c r="B96" s="20"/>
      <c r="C96" s="15" t="str">
        <f>'Hypothèses de coûts'!C28</f>
        <v>Frais agence marketing</v>
      </c>
      <c r="D96" s="20"/>
      <c r="E96" s="21"/>
      <c r="F96" s="20"/>
      <c r="G96" s="21"/>
      <c r="H96" s="19">
        <f>'Hypothèses de coûts'!D28</f>
        <v>0</v>
      </c>
      <c r="I96" s="19">
        <f>'Hypothèses de coûts'!E28</f>
        <v>0</v>
      </c>
      <c r="J96" s="19">
        <f>'Hypothèses de coûts'!F28</f>
        <v>30000</v>
      </c>
      <c r="K96" s="15">
        <f>'Hypothèses de coûts'!G28</f>
        <v>40000</v>
      </c>
      <c r="L96" s="19">
        <f>'Hypothèses de coûts'!H28</f>
        <v>170000</v>
      </c>
      <c r="M96" s="354">
        <f>'Hypothèses de coûts'!I28</f>
        <v>255000</v>
      </c>
      <c r="N96" s="19">
        <f>'Hypothèses de coûts'!J28</f>
        <v>382500</v>
      </c>
      <c r="O96" s="19">
        <f>'Hypothèses de coûts'!K28</f>
        <v>459000</v>
      </c>
      <c r="P96" s="19">
        <f>'Hypothèses de coûts'!L28</f>
        <v>550800</v>
      </c>
      <c r="Q96" s="19">
        <f>'Hypothèses de coûts'!M28</f>
        <v>660960</v>
      </c>
    </row>
    <row r="97" spans="2:17" ht="15.75" hidden="1" outlineLevel="1" x14ac:dyDescent="0.5">
      <c r="B97" s="20"/>
      <c r="C97" s="15" t="str">
        <f>'Hypothèses de coûts'!C29</f>
        <v>Budget participations salons</v>
      </c>
      <c r="D97" s="20"/>
      <c r="E97" s="21"/>
      <c r="F97" s="20"/>
      <c r="G97" s="21"/>
      <c r="H97" s="19">
        <f>'Hypothèses de coûts'!D29</f>
        <v>0</v>
      </c>
      <c r="I97" s="19">
        <f>'Hypothèses de coûts'!E29</f>
        <v>0</v>
      </c>
      <c r="J97" s="19">
        <f>'Hypothèses de coûts'!F29</f>
        <v>50000</v>
      </c>
      <c r="K97" s="15">
        <f>'Hypothèses de coûts'!G29</f>
        <v>80000</v>
      </c>
      <c r="L97" s="19">
        <f>'Hypothèses de coûts'!H29</f>
        <v>200000</v>
      </c>
      <c r="M97" s="354">
        <f>'Hypothèses de coûts'!I29</f>
        <v>280000</v>
      </c>
      <c r="N97" s="19">
        <f>'Hypothèses de coûts'!J29</f>
        <v>280000</v>
      </c>
      <c r="O97" s="19">
        <f>'Hypothèses de coûts'!K29</f>
        <v>280000</v>
      </c>
      <c r="P97" s="19">
        <f>'Hypothèses de coûts'!L29</f>
        <v>280000</v>
      </c>
      <c r="Q97" s="19">
        <f>'Hypothèses de coûts'!M29</f>
        <v>280000</v>
      </c>
    </row>
    <row r="98" spans="2:17" ht="15.75" hidden="1" outlineLevel="1" x14ac:dyDescent="0.5">
      <c r="B98" s="20"/>
      <c r="C98" s="15"/>
      <c r="D98" s="20"/>
      <c r="E98" s="21"/>
      <c r="F98" s="20"/>
      <c r="G98" s="21"/>
      <c r="H98" s="19"/>
      <c r="I98" s="20"/>
      <c r="J98" s="19"/>
      <c r="K98" s="20"/>
      <c r="L98" s="19"/>
      <c r="M98" s="354"/>
      <c r="N98" s="20"/>
      <c r="O98" s="20"/>
      <c r="P98" s="19"/>
      <c r="Q98" s="20"/>
    </row>
    <row r="99" spans="2:17" ht="15.75" collapsed="1" x14ac:dyDescent="0.5">
      <c r="B99" s="20"/>
      <c r="C99" s="39"/>
      <c r="D99" s="20"/>
      <c r="E99" s="21"/>
      <c r="F99" s="20"/>
      <c r="G99" s="86" t="s">
        <v>24</v>
      </c>
      <c r="H99" s="40">
        <f t="shared" ref="H99:Q99" si="16">SUM(H90:H97)</f>
        <v>0</v>
      </c>
      <c r="I99" s="40">
        <f t="shared" si="16"/>
        <v>0</v>
      </c>
      <c r="J99" s="40">
        <f t="shared" si="16"/>
        <v>190000</v>
      </c>
      <c r="K99" s="39">
        <f t="shared" si="16"/>
        <v>380000</v>
      </c>
      <c r="L99" s="40">
        <f t="shared" si="16"/>
        <v>1340000</v>
      </c>
      <c r="M99" s="356">
        <f t="shared" si="16"/>
        <v>1990000</v>
      </c>
      <c r="N99" s="40">
        <f t="shared" si="16"/>
        <v>2845000</v>
      </c>
      <c r="O99" s="40">
        <f t="shared" si="16"/>
        <v>3358000</v>
      </c>
      <c r="P99" s="40">
        <f t="shared" si="16"/>
        <v>3973600</v>
      </c>
      <c r="Q99" s="40">
        <f t="shared" si="16"/>
        <v>4712320</v>
      </c>
    </row>
    <row r="100" spans="2:17" ht="16.149999999999999" thickBot="1" x14ac:dyDescent="0.55000000000000004">
      <c r="B100" s="20"/>
      <c r="C100" s="15"/>
      <c r="D100" s="20"/>
      <c r="E100" s="21"/>
      <c r="F100" s="20"/>
      <c r="G100" s="21"/>
      <c r="H100" s="19"/>
      <c r="I100" s="20"/>
      <c r="J100" s="19"/>
      <c r="K100" s="20"/>
      <c r="L100" s="28"/>
      <c r="M100" s="354"/>
      <c r="N100" s="20"/>
      <c r="O100" s="20"/>
      <c r="P100" s="19"/>
      <c r="Q100" s="20"/>
    </row>
    <row r="101" spans="2:17" ht="16.149999999999999" thickBot="1" x14ac:dyDescent="0.55000000000000004">
      <c r="B101" s="20"/>
      <c r="C101" s="87"/>
      <c r="D101" s="88"/>
      <c r="E101" s="89"/>
      <c r="F101" s="88"/>
      <c r="G101" s="89" t="s">
        <v>93</v>
      </c>
      <c r="H101" s="90">
        <f t="shared" ref="H101:Q101" si="17">H33+H79+H88+H99</f>
        <v>2400</v>
      </c>
      <c r="I101" s="90">
        <f t="shared" si="17"/>
        <v>641428.7905</v>
      </c>
      <c r="J101" s="90">
        <f t="shared" si="17"/>
        <v>1442543.8432</v>
      </c>
      <c r="K101" s="90">
        <f t="shared" si="17"/>
        <v>2158672.6376999998</v>
      </c>
      <c r="L101" s="374">
        <f t="shared" si="17"/>
        <v>3955224.1136000003</v>
      </c>
      <c r="M101" s="351">
        <f t="shared" si="17"/>
        <v>5068112.5704999994</v>
      </c>
      <c r="N101" s="90">
        <f t="shared" si="17"/>
        <v>6270151.3910000008</v>
      </c>
      <c r="O101" s="90">
        <f t="shared" si="17"/>
        <v>7119541.6221000003</v>
      </c>
      <c r="P101" s="90">
        <f t="shared" si="17"/>
        <v>7815208.3200000003</v>
      </c>
      <c r="Q101" s="90">
        <f t="shared" si="17"/>
        <v>8654132.5138000008</v>
      </c>
    </row>
    <row r="102" spans="2:17" s="71" customFormat="1" ht="16.149999999999999" thickBot="1" x14ac:dyDescent="0.55000000000000004">
      <c r="B102" s="20"/>
      <c r="C102" s="319"/>
      <c r="D102" s="320"/>
      <c r="E102" s="321"/>
      <c r="F102" s="320"/>
      <c r="G102" s="21"/>
      <c r="H102" s="340"/>
      <c r="I102" s="322"/>
      <c r="J102" s="340"/>
      <c r="K102" s="322"/>
      <c r="L102" s="340"/>
      <c r="M102" s="358"/>
      <c r="N102" s="322"/>
      <c r="O102" s="322"/>
      <c r="P102" s="340"/>
      <c r="Q102" s="322"/>
    </row>
    <row r="103" spans="2:17" ht="16.149999999999999" hidden="1" thickBot="1" x14ac:dyDescent="0.55000000000000004">
      <c r="B103" s="20"/>
      <c r="C103" s="50"/>
      <c r="D103" s="20"/>
      <c r="E103" s="21"/>
      <c r="F103" s="20"/>
      <c r="G103" s="21" t="s">
        <v>260</v>
      </c>
      <c r="H103" s="299"/>
      <c r="I103" s="299" t="e">
        <f t="shared" ref="I103:Q103" si="18">(I104-I14)/I12</f>
        <v>#DIV/0!</v>
      </c>
      <c r="J103" s="299">
        <f t="shared" si="18"/>
        <v>-0.54700376784313731</v>
      </c>
      <c r="K103" s="299">
        <f>(K104-K14)/K12</f>
        <v>0.30006970471479499</v>
      </c>
      <c r="L103" s="299">
        <f t="shared" si="18"/>
        <v>0.40254606450980396</v>
      </c>
      <c r="M103" s="359">
        <f t="shared" si="18"/>
        <v>0.52532505609068636</v>
      </c>
      <c r="N103" s="299">
        <f t="shared" si="18"/>
        <v>0.56970548275302779</v>
      </c>
      <c r="O103" s="299">
        <f t="shared" si="18"/>
        <v>0.6030725126048313</v>
      </c>
      <c r="P103" s="299">
        <f t="shared" si="18"/>
        <v>0.60820650221378869</v>
      </c>
      <c r="Q103" s="299">
        <f t="shared" si="18"/>
        <v>0.59531143451622448</v>
      </c>
    </row>
    <row r="104" spans="2:17" ht="16.149999999999999" thickBot="1" x14ac:dyDescent="0.55000000000000004">
      <c r="B104" s="44"/>
      <c r="C104" s="424" t="s">
        <v>25</v>
      </c>
      <c r="D104" s="425"/>
      <c r="E104" s="425"/>
      <c r="F104" s="425"/>
      <c r="G104" s="425"/>
      <c r="H104" s="30">
        <f t="shared" ref="H104:Q104" si="19">H27-H101</f>
        <v>-2400</v>
      </c>
      <c r="I104" s="31">
        <f t="shared" si="19"/>
        <v>-240498.35849999997</v>
      </c>
      <c r="J104" s="31">
        <f t="shared" si="19"/>
        <v>-82083.555200000061</v>
      </c>
      <c r="K104" s="31">
        <f t="shared" si="19"/>
        <v>1755562.9036333333</v>
      </c>
      <c r="L104" s="375">
        <f t="shared" si="19"/>
        <v>4189977.6272000005</v>
      </c>
      <c r="M104" s="30">
        <f t="shared" si="19"/>
        <v>8144681.1948333345</v>
      </c>
      <c r="N104" s="31">
        <f t="shared" si="19"/>
        <v>11640538.617000001</v>
      </c>
      <c r="O104" s="31">
        <f t="shared" si="19"/>
        <v>14800801.09176667</v>
      </c>
      <c r="P104" s="31">
        <f t="shared" si="19"/>
        <v>16591270.015999999</v>
      </c>
      <c r="Q104" s="31">
        <f t="shared" si="19"/>
        <v>17316650.950999998</v>
      </c>
    </row>
    <row r="105" spans="2:17" ht="15.75" x14ac:dyDescent="0.5">
      <c r="B105" s="44"/>
      <c r="C105" s="45"/>
      <c r="D105" s="51"/>
      <c r="E105" s="51"/>
      <c r="F105" s="52"/>
      <c r="G105" s="53"/>
      <c r="H105" s="48"/>
      <c r="I105" s="49"/>
      <c r="J105" s="48"/>
      <c r="K105" s="49"/>
      <c r="L105" s="48"/>
      <c r="M105" s="355"/>
      <c r="N105" s="49"/>
      <c r="O105" s="49"/>
      <c r="P105" s="48"/>
      <c r="Q105" s="49"/>
    </row>
    <row r="106" spans="2:17" ht="15.75" hidden="1" outlineLevel="1" x14ac:dyDescent="0.5">
      <c r="B106" s="20"/>
      <c r="C106" s="15" t="s">
        <v>190</v>
      </c>
      <c r="D106" s="20"/>
      <c r="E106" s="21"/>
      <c r="F106" s="20"/>
      <c r="G106" s="21"/>
      <c r="H106" s="19">
        <f>'Balance Sheet'!H7*12/'Hypothèses de CAPEX'!$E$10</f>
        <v>22497.200000000001</v>
      </c>
      <c r="I106" s="19">
        <f>'Balance Sheet'!I7*12/'Hypothèses de CAPEX'!$E$10</f>
        <v>17997.760000000002</v>
      </c>
      <c r="J106" s="19">
        <f>'Balance Sheet'!J7*12/'Hypothèses de CAPEX'!$E$10</f>
        <v>44584.294399999999</v>
      </c>
      <c r="K106" s="15">
        <f>'Balance Sheet'!K7*12/'Hypothèses de CAPEX'!$E$10</f>
        <v>130839.49312</v>
      </c>
      <c r="L106" s="19">
        <f>'Balance Sheet'!L7*12/'Hypothèses de CAPEX'!$E$10</f>
        <v>231332.036096</v>
      </c>
      <c r="M106" s="354">
        <f>'Balance Sheet'!M7*12/'Hypothèses de CAPEX'!$E$10</f>
        <v>366105.9770368</v>
      </c>
      <c r="N106" s="19">
        <f>'Balance Sheet'!N7*12/'Hypothèses de CAPEX'!$E$10</f>
        <v>492936.86802944</v>
      </c>
      <c r="O106" s="19">
        <f>'Balance Sheet'!O7*12/'Hypothèses de CAPEX'!$E$10</f>
        <v>615002.6960235521</v>
      </c>
      <c r="P106" s="19">
        <f>'Balance Sheet'!P7*12/'Hypothèses de CAPEX'!$E$10</f>
        <v>729169.36625884159</v>
      </c>
      <c r="Q106" s="19">
        <f>'Balance Sheet'!Q7*12/'Hypothèses de CAPEX'!$E$10</f>
        <v>824551.16020707332</v>
      </c>
    </row>
    <row r="107" spans="2:17" ht="15.75" hidden="1" outlineLevel="1" x14ac:dyDescent="0.5">
      <c r="B107" s="20"/>
      <c r="C107" s="15" t="s">
        <v>187</v>
      </c>
      <c r="D107" s="20"/>
      <c r="E107" s="21"/>
      <c r="F107" s="20"/>
      <c r="G107" s="21"/>
      <c r="H107" s="19">
        <f>('Balance Sheet'!I8+'Balance Sheet'!I9+'Balance Sheet'!I10)*12/'Hypothèses de CAPEX'!$E$3</f>
        <v>16666.666666666668</v>
      </c>
      <c r="I107" s="19">
        <f>('Balance Sheet'!J8+'Balance Sheet'!J9+'Balance Sheet'!J10)*12/'Hypothèses de CAPEX'!$E$3</f>
        <v>133666.66666666666</v>
      </c>
      <c r="J107" s="19">
        <f>('Balance Sheet'!K8+'Balance Sheet'!K9+'Balance Sheet'!K10)*12/'Hypothèses de CAPEX'!$E$3</f>
        <v>139840</v>
      </c>
      <c r="K107" s="15">
        <f>('Balance Sheet'!L8+'Balance Sheet'!L9+'Balance Sheet'!L10)*12/'Hypothèses de CAPEX'!$E$3</f>
        <v>146311.80000000002</v>
      </c>
      <c r="L107" s="19">
        <f>('Balance Sheet'!M8+'Balance Sheet'!M9+'Balance Sheet'!M10)*12/'Hypothèses de CAPEX'!$E$3</f>
        <v>153096.78599999999</v>
      </c>
      <c r="M107" s="354">
        <f>('Balance Sheet'!N8+'Balance Sheet'!N9+'Balance Sheet'!N10)*12/'Hypothèses de CAPEX'!$E$3</f>
        <v>160210.40922</v>
      </c>
      <c r="N107" s="19">
        <f>('Balance Sheet'!O8+'Balance Sheet'!O9+'Balance Sheet'!O10)*12/'Hypothèses de CAPEX'!$E$3</f>
        <v>167668.88927940006</v>
      </c>
      <c r="O107" s="19">
        <f>('Balance Sheet'!P8+'Balance Sheet'!P9+'Balance Sheet'!P10)*12/'Hypothèses de CAPEX'!$E$3</f>
        <v>175489.25253373798</v>
      </c>
      <c r="P107" s="19">
        <f>('Balance Sheet'!Q8+'Balance Sheet'!Q9+'Balance Sheet'!Q10)*12/'Hypothèses de CAPEX'!$E$3</f>
        <v>183689.37232660028</v>
      </c>
      <c r="Q107" s="19">
        <f>('Balance Sheet'!R8+'Balance Sheet'!R9+'Balance Sheet'!R10)*12/'Hypothèses de CAPEX'!$E$3</f>
        <v>192288.01125242913</v>
      </c>
    </row>
    <row r="108" spans="2:17" ht="15.75" hidden="1" outlineLevel="1" x14ac:dyDescent="0.5">
      <c r="B108" s="20"/>
      <c r="C108" s="15" t="s">
        <v>191</v>
      </c>
      <c r="D108" s="20"/>
      <c r="E108" s="21"/>
      <c r="F108" s="20"/>
      <c r="G108" s="21"/>
      <c r="H108" s="19">
        <f>'Balance Sheet'!I12*12/'Hypothèses de CAPEX'!$E$6</f>
        <v>0</v>
      </c>
      <c r="I108" s="19">
        <f>'Balance Sheet'!J12*12/'Hypothèses de CAPEX'!$E$6</f>
        <v>9500</v>
      </c>
      <c r="J108" s="19">
        <f>'Balance Sheet'!K12*12/'Hypothèses de CAPEX'!$E$6</f>
        <v>16000</v>
      </c>
      <c r="K108" s="15">
        <f>'Balance Sheet'!L12*12/'Hypothèses de CAPEX'!$E$6</f>
        <v>17500</v>
      </c>
      <c r="L108" s="19">
        <f>'Balance Sheet'!M12*12/'Hypothèses de CAPEX'!$E$6</f>
        <v>21000</v>
      </c>
      <c r="M108" s="354">
        <f>'Balance Sheet'!N12*12/'Hypothèses de CAPEX'!$E$6</f>
        <v>22500</v>
      </c>
      <c r="N108" s="19">
        <f>'Balance Sheet'!O12*12/'Hypothèses de CAPEX'!$E$6</f>
        <v>24500</v>
      </c>
      <c r="O108" s="19">
        <f>'Balance Sheet'!P12*12/'Hypothèses de CAPEX'!$E$6</f>
        <v>25500</v>
      </c>
      <c r="P108" s="19">
        <f>'Balance Sheet'!Q12*12/'Hypothèses de CAPEX'!$E$6</f>
        <v>25500</v>
      </c>
      <c r="Q108" s="19">
        <f>'Balance Sheet'!R12*12/'Hypothèses de CAPEX'!$E$6</f>
        <v>26500</v>
      </c>
    </row>
    <row r="109" spans="2:17" ht="15.75" hidden="1" outlineLevel="1" x14ac:dyDescent="0.5">
      <c r="B109" s="20"/>
      <c r="C109" s="15"/>
      <c r="D109" s="20"/>
      <c r="E109" s="21"/>
      <c r="F109" s="20"/>
      <c r="G109" s="21"/>
      <c r="H109" s="19"/>
      <c r="I109" s="20"/>
      <c r="J109" s="19"/>
      <c r="K109" s="20"/>
      <c r="L109" s="19"/>
      <c r="M109" s="354"/>
      <c r="N109" s="20"/>
      <c r="O109" s="20"/>
      <c r="P109" s="19"/>
      <c r="Q109" s="20"/>
    </row>
    <row r="110" spans="2:17" ht="15.75" collapsed="1" x14ac:dyDescent="0.5">
      <c r="B110" s="20"/>
      <c r="C110" s="54" t="s">
        <v>26</v>
      </c>
      <c r="D110" s="20"/>
      <c r="E110" s="21"/>
      <c r="F110" s="20"/>
      <c r="G110" s="21"/>
      <c r="H110" s="40">
        <f t="shared" ref="H110:Q110" si="20">SUM(H106:H108)</f>
        <v>39163.866666666669</v>
      </c>
      <c r="I110" s="40">
        <f t="shared" si="20"/>
        <v>161164.42666666667</v>
      </c>
      <c r="J110" s="40">
        <f t="shared" si="20"/>
        <v>200424.29440000001</v>
      </c>
      <c r="K110" s="39">
        <f t="shared" si="20"/>
        <v>294651.29312000005</v>
      </c>
      <c r="L110" s="40">
        <f t="shared" si="20"/>
        <v>405428.82209599996</v>
      </c>
      <c r="M110" s="356">
        <f t="shared" si="20"/>
        <v>548816.38625680003</v>
      </c>
      <c r="N110" s="40">
        <f t="shared" si="20"/>
        <v>685105.75730884005</v>
      </c>
      <c r="O110" s="40">
        <f t="shared" si="20"/>
        <v>815991.94855729002</v>
      </c>
      <c r="P110" s="40">
        <f t="shared" si="20"/>
        <v>938358.73858544184</v>
      </c>
      <c r="Q110" s="40">
        <f t="shared" si="20"/>
        <v>1043339.1714595024</v>
      </c>
    </row>
    <row r="111" spans="2:17" ht="16.149999999999999" thickBot="1" x14ac:dyDescent="0.55000000000000004">
      <c r="B111" s="20"/>
      <c r="C111" s="54"/>
      <c r="D111" s="20"/>
      <c r="E111" s="21"/>
      <c r="F111" s="20"/>
      <c r="G111" s="21"/>
      <c r="H111" s="55"/>
      <c r="I111" s="55"/>
      <c r="J111" s="55"/>
      <c r="K111" s="345"/>
      <c r="L111" s="55"/>
      <c r="M111" s="360"/>
      <c r="N111" s="55"/>
      <c r="O111" s="55"/>
      <c r="P111" s="55"/>
      <c r="Q111" s="55"/>
    </row>
    <row r="112" spans="2:17" ht="16.149999999999999" thickBot="1" x14ac:dyDescent="0.55000000000000004">
      <c r="B112" s="44"/>
      <c r="C112" s="424" t="s">
        <v>27</v>
      </c>
      <c r="D112" s="425"/>
      <c r="E112" s="425"/>
      <c r="F112" s="425"/>
      <c r="G112" s="425"/>
      <c r="H112" s="30">
        <f t="shared" ref="H112:Q112" si="21">H104-H110</f>
        <v>-41563.866666666669</v>
      </c>
      <c r="I112" s="31">
        <f t="shared" si="21"/>
        <v>-401662.78516666661</v>
      </c>
      <c r="J112" s="31">
        <f t="shared" si="21"/>
        <v>-282507.84960000007</v>
      </c>
      <c r="K112" s="31">
        <f t="shared" si="21"/>
        <v>1460911.6105133332</v>
      </c>
      <c r="L112" s="375">
        <f t="shared" si="21"/>
        <v>3784548.8051040005</v>
      </c>
      <c r="M112" s="30">
        <f t="shared" si="21"/>
        <v>7595864.8085765345</v>
      </c>
      <c r="N112" s="31">
        <f t="shared" si="21"/>
        <v>10955432.85969116</v>
      </c>
      <c r="O112" s="31">
        <f t="shared" si="21"/>
        <v>13984809.143209381</v>
      </c>
      <c r="P112" s="31">
        <f t="shared" si="21"/>
        <v>15652911.277414557</v>
      </c>
      <c r="Q112" s="31">
        <f t="shared" si="21"/>
        <v>16273311.779540496</v>
      </c>
    </row>
    <row r="113" spans="2:17" ht="16.149999999999999" thickBot="1" x14ac:dyDescent="0.55000000000000004">
      <c r="B113" s="20"/>
      <c r="C113" s="15"/>
      <c r="D113" s="20"/>
      <c r="E113" s="21"/>
      <c r="F113" s="20"/>
      <c r="G113" s="21"/>
      <c r="H113" s="35"/>
      <c r="I113" s="36"/>
      <c r="J113" s="35"/>
      <c r="K113" s="36"/>
      <c r="L113" s="346"/>
      <c r="M113" s="361"/>
      <c r="N113" s="36"/>
      <c r="O113" s="36"/>
      <c r="P113" s="35"/>
      <c r="Q113" s="36"/>
    </row>
    <row r="114" spans="2:17" ht="16.149999999999999" hidden="1" outlineLevel="2" thickBot="1" x14ac:dyDescent="0.55000000000000004">
      <c r="B114" s="20"/>
      <c r="C114" s="15" t="s">
        <v>28</v>
      </c>
      <c r="D114" s="20"/>
      <c r="E114" s="21"/>
      <c r="F114" s="20"/>
      <c r="G114" s="21"/>
      <c r="H114" s="19">
        <f>SUM('Amortissement dettes'!E11:E19)</f>
        <v>0</v>
      </c>
      <c r="I114" s="20">
        <f>SUM('Amortissement dettes'!E20:E31)</f>
        <v>0</v>
      </c>
      <c r="J114" s="19">
        <f>SUM('Amortissement dettes'!E32:E43)+'Amortissement dettes'!L4*'Amortissement dettes'!L8</f>
        <v>250</v>
      </c>
      <c r="K114" s="20">
        <f>SUM('Amortissement dettes'!E44:E55)+'Amortissement dettes'!L4*'Amortissement dettes'!L8</f>
        <v>250</v>
      </c>
      <c r="L114" s="354">
        <f>SUM('Amortissement dettes'!E56:E67)+SUM('Amortissement dettes'!L11:L22)</f>
        <v>227.13327111541454</v>
      </c>
      <c r="M114" s="354">
        <f>SUM('Amortissement dettes'!E68:E70)+SUM('Amortissement dettes'!L23:L34)</f>
        <v>177.210339707467</v>
      </c>
      <c r="N114" s="20">
        <f>SUM('Amortissement dettes'!L35:L46)</f>
        <v>127.23746248041073</v>
      </c>
      <c r="O114" s="20">
        <f>SUM('Amortissement dettes'!L47:L58)</f>
        <v>77.214589465528533</v>
      </c>
      <c r="P114" s="19">
        <f>SUM('Amortissement dettes'!L59:L70)</f>
        <v>27.141670644111468</v>
      </c>
      <c r="Q114" s="20"/>
    </row>
    <row r="115" spans="2:17" ht="16.149999999999999" hidden="1" outlineLevel="2" thickBot="1" x14ac:dyDescent="0.55000000000000004">
      <c r="B115" s="20"/>
      <c r="C115" s="15"/>
      <c r="D115" s="20"/>
      <c r="E115" s="21"/>
      <c r="F115" s="20"/>
      <c r="G115" s="21"/>
      <c r="H115" s="19"/>
      <c r="I115" s="20"/>
      <c r="J115" s="19"/>
      <c r="K115" s="20"/>
      <c r="L115" s="354"/>
      <c r="M115" s="354"/>
      <c r="N115" s="20"/>
      <c r="O115" s="20"/>
      <c r="P115" s="19"/>
      <c r="Q115" s="20"/>
    </row>
    <row r="116" spans="2:17" ht="16.149999999999999" hidden="1" outlineLevel="2" thickBot="1" x14ac:dyDescent="0.55000000000000004">
      <c r="B116" s="20"/>
      <c r="C116" s="39" t="s">
        <v>29</v>
      </c>
      <c r="D116" s="20"/>
      <c r="E116" s="21"/>
      <c r="F116" s="20"/>
      <c r="G116" s="21"/>
      <c r="H116" s="56">
        <f>-H114</f>
        <v>0</v>
      </c>
      <c r="I116" s="56">
        <f t="shared" ref="I116:Q116" si="22">-I114</f>
        <v>0</v>
      </c>
      <c r="J116" s="56">
        <f t="shared" si="22"/>
        <v>-250</v>
      </c>
      <c r="K116" s="56">
        <f t="shared" si="22"/>
        <v>-250</v>
      </c>
      <c r="L116" s="56">
        <f t="shared" si="22"/>
        <v>-227.13327111541454</v>
      </c>
      <c r="M116" s="362">
        <f t="shared" si="22"/>
        <v>-177.210339707467</v>
      </c>
      <c r="N116" s="56">
        <f t="shared" si="22"/>
        <v>-127.23746248041073</v>
      </c>
      <c r="O116" s="56">
        <f t="shared" si="22"/>
        <v>-77.214589465528533</v>
      </c>
      <c r="P116" s="56">
        <f t="shared" si="22"/>
        <v>-27.141670644111468</v>
      </c>
      <c r="Q116" s="56">
        <f t="shared" si="22"/>
        <v>0</v>
      </c>
    </row>
    <row r="117" spans="2:17" ht="16.149999999999999" hidden="1" outlineLevel="2" thickBot="1" x14ac:dyDescent="0.55000000000000004">
      <c r="B117" s="44"/>
      <c r="C117" s="424" t="s">
        <v>30</v>
      </c>
      <c r="D117" s="425"/>
      <c r="E117" s="425"/>
      <c r="F117" s="425"/>
      <c r="G117" s="425"/>
      <c r="H117" s="30">
        <f t="shared" ref="H117:Q117" si="23">H112+H116</f>
        <v>-41563.866666666669</v>
      </c>
      <c r="I117" s="31">
        <f t="shared" si="23"/>
        <v>-401662.78516666661</v>
      </c>
      <c r="J117" s="31">
        <f t="shared" si="23"/>
        <v>-282757.84960000007</v>
      </c>
      <c r="K117" s="31">
        <f t="shared" si="23"/>
        <v>1460661.6105133332</v>
      </c>
      <c r="L117" s="375">
        <f t="shared" si="23"/>
        <v>3784321.6718328851</v>
      </c>
      <c r="M117" s="30">
        <f t="shared" si="23"/>
        <v>7595687.5982368272</v>
      </c>
      <c r="N117" s="31">
        <f t="shared" si="23"/>
        <v>10955305.62222868</v>
      </c>
      <c r="O117" s="31">
        <f t="shared" si="23"/>
        <v>13984731.928619916</v>
      </c>
      <c r="P117" s="31">
        <f t="shared" si="23"/>
        <v>15652884.135743912</v>
      </c>
      <c r="Q117" s="31">
        <f t="shared" si="23"/>
        <v>16273311.779540496</v>
      </c>
    </row>
    <row r="118" spans="2:17" ht="16.149999999999999" hidden="1" outlineLevel="2" thickBot="1" x14ac:dyDescent="0.55000000000000004">
      <c r="B118" s="14"/>
      <c r="C118" s="15" t="s">
        <v>31</v>
      </c>
      <c r="D118" s="20"/>
      <c r="E118" s="21"/>
      <c r="F118" s="20"/>
      <c r="G118" s="21"/>
      <c r="H118" s="35"/>
      <c r="I118" s="20"/>
      <c r="J118" s="35"/>
      <c r="K118" s="20"/>
      <c r="L118" s="354"/>
      <c r="M118" s="361"/>
      <c r="N118" s="20"/>
      <c r="O118" s="20"/>
      <c r="P118" s="35"/>
      <c r="Q118" s="20"/>
    </row>
    <row r="119" spans="2:17" ht="16.149999999999999" hidden="1" outlineLevel="2" thickBot="1" x14ac:dyDescent="0.55000000000000004">
      <c r="B119" s="20"/>
      <c r="C119" s="15" t="s">
        <v>32</v>
      </c>
      <c r="D119" s="20"/>
      <c r="E119" s="21"/>
      <c r="F119" s="20"/>
      <c r="G119" s="21"/>
      <c r="H119" s="19"/>
      <c r="I119" s="20"/>
      <c r="J119" s="19"/>
      <c r="K119" s="20"/>
      <c r="L119" s="354"/>
      <c r="M119" s="354"/>
      <c r="N119" s="20"/>
      <c r="O119" s="20"/>
      <c r="P119" s="19"/>
      <c r="Q119" s="20"/>
    </row>
    <row r="120" spans="2:17" ht="16.149999999999999" hidden="1" outlineLevel="2" thickBot="1" x14ac:dyDescent="0.55000000000000004">
      <c r="B120" s="20"/>
      <c r="C120" s="15"/>
      <c r="D120" s="20"/>
      <c r="E120" s="21"/>
      <c r="F120" s="20"/>
      <c r="G120" s="21"/>
      <c r="H120" s="19"/>
      <c r="I120" s="20"/>
      <c r="J120" s="19"/>
      <c r="K120" s="20"/>
      <c r="L120" s="354"/>
      <c r="M120" s="354"/>
      <c r="N120" s="20"/>
      <c r="O120" s="20"/>
      <c r="P120" s="19"/>
      <c r="Q120" s="20"/>
    </row>
    <row r="121" spans="2:17" ht="16.149999999999999" hidden="1" outlineLevel="2" thickBot="1" x14ac:dyDescent="0.55000000000000004">
      <c r="B121" s="20"/>
      <c r="C121" s="39" t="s">
        <v>33</v>
      </c>
      <c r="D121" s="20"/>
      <c r="E121" s="21"/>
      <c r="F121" s="20"/>
      <c r="G121" s="21"/>
      <c r="H121" s="56"/>
      <c r="I121" s="14"/>
      <c r="J121" s="56"/>
      <c r="K121" s="14"/>
      <c r="L121" s="356"/>
      <c r="M121" s="362"/>
      <c r="N121" s="14"/>
      <c r="O121" s="14"/>
      <c r="P121" s="56"/>
      <c r="Q121" s="14"/>
    </row>
    <row r="122" spans="2:17" ht="16.149999999999999" collapsed="1" thickBot="1" x14ac:dyDescent="0.55000000000000004">
      <c r="B122" s="44"/>
      <c r="C122" s="424" t="s">
        <v>237</v>
      </c>
      <c r="D122" s="425"/>
      <c r="E122" s="425"/>
      <c r="F122" s="425"/>
      <c r="G122" s="425"/>
      <c r="H122" s="30">
        <f t="shared" ref="H122:Q122" si="24">H117-H121</f>
        <v>-41563.866666666669</v>
      </c>
      <c r="I122" s="31">
        <f t="shared" si="24"/>
        <v>-401662.78516666661</v>
      </c>
      <c r="J122" s="31">
        <f t="shared" si="24"/>
        <v>-282757.84960000007</v>
      </c>
      <c r="K122" s="31">
        <f t="shared" si="24"/>
        <v>1460661.6105133332</v>
      </c>
      <c r="L122" s="375">
        <f t="shared" si="24"/>
        <v>3784321.6718328851</v>
      </c>
      <c r="M122" s="30">
        <f t="shared" si="24"/>
        <v>7595687.5982368272</v>
      </c>
      <c r="N122" s="31">
        <f t="shared" si="24"/>
        <v>10955305.62222868</v>
      </c>
      <c r="O122" s="31">
        <f t="shared" si="24"/>
        <v>13984731.928619916</v>
      </c>
      <c r="P122" s="31">
        <f t="shared" si="24"/>
        <v>15652884.135743912</v>
      </c>
      <c r="Q122" s="31">
        <f t="shared" si="24"/>
        <v>16273311.779540496</v>
      </c>
    </row>
    <row r="123" spans="2:17" ht="15.75" x14ac:dyDescent="0.5">
      <c r="B123" s="20"/>
      <c r="C123" s="15" t="s">
        <v>193</v>
      </c>
      <c r="D123" s="20"/>
      <c r="E123" s="21"/>
      <c r="F123" s="20"/>
      <c r="G123" s="21"/>
      <c r="H123" s="35"/>
      <c r="I123" s="35"/>
      <c r="J123" s="35"/>
      <c r="K123" s="35">
        <f>15%*38120+28%*(K122-38120+SUM(H126:J126))</f>
        <v>257069.82158239998</v>
      </c>
      <c r="L123" s="35">
        <f t="shared" ref="K123:N123" si="25">15%*38120+28%*(L122-38120)</f>
        <v>1054654.468113208</v>
      </c>
      <c r="M123" s="35">
        <f t="shared" si="25"/>
        <v>2121836.9275063118</v>
      </c>
      <c r="N123" s="35">
        <f t="shared" si="25"/>
        <v>3062529.974224031</v>
      </c>
      <c r="O123" s="35">
        <f t="shared" ref="O123:Q123" si="26">15%*38120+28%*(O122-38120)</f>
        <v>3910769.3400135767</v>
      </c>
      <c r="P123" s="35">
        <f t="shared" si="26"/>
        <v>4377851.9580082959</v>
      </c>
      <c r="Q123" s="35">
        <f t="shared" si="26"/>
        <v>4551571.6982713398</v>
      </c>
    </row>
    <row r="124" spans="2:17" ht="15.75" x14ac:dyDescent="0.5">
      <c r="B124" s="20"/>
      <c r="C124" s="15" t="s">
        <v>194</v>
      </c>
      <c r="D124" s="20"/>
      <c r="E124" s="21"/>
      <c r="F124" s="20"/>
      <c r="G124" s="21"/>
      <c r="H124" s="19">
        <f>'Calcul du CIR'!D31</f>
        <v>0</v>
      </c>
      <c r="I124" s="20">
        <f>'Calcul du CIR'!E31</f>
        <v>0</v>
      </c>
      <c r="J124" s="19">
        <f>'Calcul du CIR'!F31</f>
        <v>201127.96799999996</v>
      </c>
      <c r="K124" s="20">
        <f>'Calcul du CIR'!G31</f>
        <v>271415.23200000002</v>
      </c>
      <c r="L124" s="19">
        <f>'Calcul du CIR'!H31</f>
        <v>339450.65279999998</v>
      </c>
      <c r="M124" s="354">
        <f>'Calcul du CIR'!I31</f>
        <v>375097.66200000001</v>
      </c>
      <c r="N124" s="20">
        <f>'Calcul du CIR'!J31</f>
        <v>413724.75299999997</v>
      </c>
      <c r="O124" s="20">
        <f>'Calcul du CIR'!K31</f>
        <v>444688.51769999997</v>
      </c>
      <c r="P124" s="19">
        <f>'Calcul du CIR'!L31</f>
        <v>452279.37600000005</v>
      </c>
      <c r="Q124" s="20">
        <f>'Calcul du CIR'!M31</f>
        <v>467108.79930000001</v>
      </c>
    </row>
    <row r="125" spans="2:17" ht="16.149999999999999" thickBot="1" x14ac:dyDescent="0.55000000000000004">
      <c r="B125" s="20"/>
      <c r="C125" s="15"/>
      <c r="D125" s="20"/>
      <c r="E125" s="21"/>
      <c r="F125" s="20"/>
      <c r="G125" s="21"/>
      <c r="H125" s="28"/>
      <c r="I125" s="24"/>
      <c r="J125" s="28"/>
      <c r="K125" s="24"/>
      <c r="L125" s="28"/>
      <c r="M125" s="363"/>
      <c r="N125" s="24"/>
      <c r="O125" s="24"/>
      <c r="P125" s="28"/>
      <c r="Q125" s="24"/>
    </row>
    <row r="126" spans="2:17" ht="16.149999999999999" thickBot="1" x14ac:dyDescent="0.55000000000000004">
      <c r="B126" s="44"/>
      <c r="C126" s="426" t="s">
        <v>34</v>
      </c>
      <c r="D126" s="427"/>
      <c r="E126" s="427"/>
      <c r="F126" s="427"/>
      <c r="G126" s="428"/>
      <c r="H126" s="281">
        <f t="shared" ref="H126:Q126" si="27">H122-H123+H124</f>
        <v>-41563.866666666669</v>
      </c>
      <c r="I126" s="281">
        <f t="shared" si="27"/>
        <v>-401662.78516666661</v>
      </c>
      <c r="J126" s="58">
        <f t="shared" si="27"/>
        <v>-81629.88160000011</v>
      </c>
      <c r="K126" s="282">
        <f t="shared" si="27"/>
        <v>1475007.0209309333</v>
      </c>
      <c r="L126" s="380">
        <f t="shared" si="27"/>
        <v>3069117.8565196772</v>
      </c>
      <c r="M126" s="58">
        <f t="shared" si="27"/>
        <v>5848948.3327305149</v>
      </c>
      <c r="N126" s="282">
        <f t="shared" si="27"/>
        <v>8306500.4010046488</v>
      </c>
      <c r="O126" s="281">
        <f t="shared" si="27"/>
        <v>10518651.106306339</v>
      </c>
      <c r="P126" s="58">
        <f t="shared" si="27"/>
        <v>11727311.553735616</v>
      </c>
      <c r="Q126" s="282">
        <f t="shared" si="27"/>
        <v>12188848.880569156</v>
      </c>
    </row>
    <row r="127" spans="2:17" ht="16.149999999999999" thickBot="1" x14ac:dyDescent="0.55000000000000004">
      <c r="B127" s="20"/>
      <c r="C127" s="347"/>
      <c r="D127" s="20"/>
      <c r="E127" s="20"/>
      <c r="F127" s="20"/>
      <c r="G127" s="21"/>
      <c r="H127" s="341"/>
      <c r="I127" s="381"/>
      <c r="J127" s="341"/>
      <c r="K127" s="381"/>
      <c r="L127" s="341"/>
      <c r="M127" s="364"/>
      <c r="N127" s="59"/>
      <c r="O127" s="59"/>
      <c r="P127" s="341"/>
      <c r="Q127" s="59"/>
    </row>
    <row r="128" spans="2:17" ht="16.149999999999999" thickBot="1" x14ac:dyDescent="0.55000000000000004">
      <c r="C128" s="418" t="s">
        <v>271</v>
      </c>
      <c r="D128" s="419"/>
      <c r="E128" s="419"/>
      <c r="F128" s="419"/>
      <c r="G128" s="420"/>
      <c r="H128" s="332">
        <f>H70+H71</f>
        <v>0</v>
      </c>
      <c r="I128" s="332">
        <f t="shared" ref="I128:Q128" si="28">I70+I71</f>
        <v>420982.74330000003</v>
      </c>
      <c r="J128" s="332">
        <f t="shared" si="28"/>
        <v>783023.10239999997</v>
      </c>
      <c r="K128" s="332">
        <f t="shared" si="28"/>
        <v>878769.30330000003</v>
      </c>
      <c r="L128" s="382">
        <f t="shared" si="28"/>
        <v>1212905.8368000002</v>
      </c>
      <c r="M128" s="365">
        <f t="shared" si="28"/>
        <v>1347228.2775000001</v>
      </c>
      <c r="N128" s="332">
        <f t="shared" si="28"/>
        <v>1455921.7101</v>
      </c>
      <c r="O128" s="332">
        <f t="shared" si="28"/>
        <v>1502489.4780000001</v>
      </c>
      <c r="P128" s="332">
        <f t="shared" si="28"/>
        <v>1515115.44</v>
      </c>
      <c r="Q128" s="332">
        <f t="shared" si="28"/>
        <v>1584647.2058999999</v>
      </c>
    </row>
    <row r="129" spans="3:17" ht="14.65" thickBot="1" x14ac:dyDescent="0.5">
      <c r="C129" s="383"/>
      <c r="D129" s="376"/>
      <c r="E129" s="376"/>
      <c r="F129" s="376"/>
      <c r="G129" s="384" t="s">
        <v>273</v>
      </c>
      <c r="H129" s="342">
        <f>$F$136*H128</f>
        <v>0</v>
      </c>
      <c r="I129" s="385">
        <f t="shared" ref="I129:Q129" si="29">$F$136*I128</f>
        <v>147343.96015500001</v>
      </c>
      <c r="J129" s="342">
        <f t="shared" si="29"/>
        <v>274058.08583999996</v>
      </c>
      <c r="K129" s="385">
        <f t="shared" si="29"/>
        <v>307569.25615500001</v>
      </c>
      <c r="L129" s="342">
        <f t="shared" si="29"/>
        <v>424517.04288000002</v>
      </c>
      <c r="M129" s="366">
        <f t="shared" si="29"/>
        <v>471529.89712500002</v>
      </c>
      <c r="N129" s="331">
        <f t="shared" si="29"/>
        <v>509572.598535</v>
      </c>
      <c r="O129" s="331">
        <f t="shared" si="29"/>
        <v>525871.3173</v>
      </c>
      <c r="P129" s="342">
        <f t="shared" si="29"/>
        <v>530290.40399999998</v>
      </c>
      <c r="Q129" s="331">
        <f t="shared" si="29"/>
        <v>554626.52206499991</v>
      </c>
    </row>
    <row r="130" spans="3:17" ht="16.149999999999999" thickBot="1" x14ac:dyDescent="0.55000000000000004">
      <c r="C130" s="418" t="s">
        <v>275</v>
      </c>
      <c r="D130" s="419"/>
      <c r="E130" s="419"/>
      <c r="F130" s="419"/>
      <c r="G130" s="420"/>
      <c r="H130" s="332">
        <f>'Flux de trésorerie (p)'!E17+'Flux de trésorerie (p)'!E18</f>
        <v>66666.666666666672</v>
      </c>
      <c r="I130" s="332">
        <f>'Flux de trésorerie (p)'!F17+'Flux de trésorerie (p)'!F18</f>
        <v>484666.66666666663</v>
      </c>
      <c r="J130" s="332">
        <f>'Flux de trésorerie (p)'!G17+'Flux de trésorerie (p)'!G18</f>
        <v>158360</v>
      </c>
      <c r="K130" s="332">
        <f>'Flux de trésorerie (p)'!H17+'Flux de trésorerie (p)'!H18</f>
        <v>165727.20000000001</v>
      </c>
      <c r="L130" s="382">
        <f>'Flux de trésorerie (p)'!I17+'Flux de trésorerie (p)'!I18</f>
        <v>173451.74400000006</v>
      </c>
      <c r="M130" s="365">
        <f>'Flux de trésorerie (p)'!J17+'Flux de trésorerie (p)'!J18</f>
        <v>181551.27887999994</v>
      </c>
      <c r="N130" s="332">
        <f>'Flux de trésorerie (p)'!K17+'Flux de trésorerie (p)'!K18</f>
        <v>190044.32945760011</v>
      </c>
      <c r="O130" s="332">
        <f>'Flux de trésorerie (p)'!L17+'Flux de trésorerie (p)'!L18</f>
        <v>198950.34229675189</v>
      </c>
      <c r="P130" s="332">
        <f>'Flux de trésorerie (p)'!M17+'Flux de trésorerie (p)'!M18</f>
        <v>208289.73170518715</v>
      </c>
      <c r="Q130" s="332">
        <f>'Flux de trésorerie (p)'!N17+'Flux de trésorerie (p)'!N18</f>
        <v>218083.92802991567</v>
      </c>
    </row>
    <row r="131" spans="3:17" ht="14.65" thickBot="1" x14ac:dyDescent="0.5">
      <c r="C131" s="383"/>
      <c r="D131" s="376"/>
      <c r="E131" s="376"/>
      <c r="F131" s="376"/>
      <c r="G131" s="384"/>
      <c r="H131" s="343"/>
      <c r="I131" s="376"/>
      <c r="J131" s="343"/>
      <c r="K131" s="376"/>
      <c r="L131" s="343"/>
      <c r="M131" s="367"/>
      <c r="P131" s="343"/>
    </row>
    <row r="132" spans="3:17" ht="16.149999999999999" thickBot="1" x14ac:dyDescent="0.55000000000000004">
      <c r="C132" s="421" t="s">
        <v>272</v>
      </c>
      <c r="D132" s="422"/>
      <c r="E132" s="422"/>
      <c r="F132" s="422"/>
      <c r="G132" s="423"/>
      <c r="H132" s="333">
        <f>H128+H129+H130</f>
        <v>66666.666666666672</v>
      </c>
      <c r="I132" s="333">
        <f>I128+I129+I130</f>
        <v>1052993.3701216667</v>
      </c>
      <c r="J132" s="333">
        <f t="shared" ref="J132:Q132" si="30">J128+J129+J130</f>
        <v>1215441.18824</v>
      </c>
      <c r="K132" s="333">
        <f t="shared" si="30"/>
        <v>1352065.7594550001</v>
      </c>
      <c r="L132" s="386">
        <f t="shared" si="30"/>
        <v>1810874.6236800002</v>
      </c>
      <c r="M132" s="368">
        <f t="shared" si="30"/>
        <v>2000309.4535049999</v>
      </c>
      <c r="N132" s="333">
        <f t="shared" si="30"/>
        <v>2155538.6380926003</v>
      </c>
      <c r="O132" s="333">
        <f t="shared" si="30"/>
        <v>2227311.137596752</v>
      </c>
      <c r="P132" s="333">
        <f t="shared" si="30"/>
        <v>2253695.5757051874</v>
      </c>
      <c r="Q132" s="333">
        <f t="shared" si="30"/>
        <v>2357357.6559949159</v>
      </c>
    </row>
    <row r="136" spans="3:17" x14ac:dyDescent="0.45">
      <c r="E136" s="334" t="s">
        <v>274</v>
      </c>
      <c r="F136" s="335">
        <v>0.35</v>
      </c>
    </row>
    <row r="141" spans="3:17" ht="14.65" thickBot="1" x14ac:dyDescent="0.5"/>
    <row r="142" spans="3:17" ht="14.65" thickBot="1" x14ac:dyDescent="0.5">
      <c r="F142" s="398"/>
      <c r="G142" s="399" t="s">
        <v>280</v>
      </c>
      <c r="H142" s="470">
        <f>H2</f>
        <v>2021</v>
      </c>
      <c r="I142" s="470">
        <f t="shared" ref="I142:Q142" si="31">I2</f>
        <v>2022</v>
      </c>
      <c r="J142" s="470">
        <f t="shared" si="31"/>
        <v>2023</v>
      </c>
      <c r="K142" s="470">
        <f t="shared" si="31"/>
        <v>2024</v>
      </c>
      <c r="L142" s="470">
        <f t="shared" si="31"/>
        <v>2025</v>
      </c>
      <c r="M142" s="470">
        <f t="shared" si="31"/>
        <v>2026</v>
      </c>
      <c r="N142" s="471">
        <f t="shared" si="31"/>
        <v>2027</v>
      </c>
      <c r="O142" s="388">
        <f t="shared" si="31"/>
        <v>2028</v>
      </c>
      <c r="P142" s="388">
        <f t="shared" si="31"/>
        <v>2029</v>
      </c>
      <c r="Q142" s="389">
        <f t="shared" si="31"/>
        <v>2030</v>
      </c>
    </row>
    <row r="143" spans="3:17" ht="14.65" thickBot="1" x14ac:dyDescent="0.5">
      <c r="F143" s="414" t="s">
        <v>281</v>
      </c>
      <c r="G143" s="415"/>
      <c r="H143" s="472">
        <f>H12/1000</f>
        <v>0</v>
      </c>
      <c r="I143" s="472">
        <f t="shared" ref="I143:Q143" si="32">I12/1000</f>
        <v>0</v>
      </c>
      <c r="J143" s="472">
        <f t="shared" si="32"/>
        <v>1020</v>
      </c>
      <c r="K143" s="472">
        <f t="shared" si="32"/>
        <v>3740</v>
      </c>
      <c r="L143" s="472">
        <f t="shared" si="32"/>
        <v>8160</v>
      </c>
      <c r="M143" s="472">
        <f t="shared" si="32"/>
        <v>13600</v>
      </c>
      <c r="N143" s="473">
        <f t="shared" si="32"/>
        <v>18496</v>
      </c>
      <c r="O143" s="392">
        <f t="shared" si="32"/>
        <v>22576</v>
      </c>
      <c r="P143" s="392">
        <f t="shared" si="32"/>
        <v>25296</v>
      </c>
      <c r="Q143" s="393">
        <f t="shared" si="32"/>
        <v>26996</v>
      </c>
    </row>
    <row r="144" spans="3:17" x14ac:dyDescent="0.45">
      <c r="F144" s="416"/>
      <c r="G144" s="417"/>
      <c r="H144" s="474"/>
      <c r="I144" s="474"/>
      <c r="J144" s="474"/>
      <c r="K144" s="474"/>
      <c r="L144" s="474"/>
      <c r="M144" s="474"/>
      <c r="N144" s="475"/>
      <c r="O144" s="390"/>
      <c r="P144" s="390"/>
      <c r="Q144" s="391"/>
    </row>
    <row r="145" spans="6:17" x14ac:dyDescent="0.45">
      <c r="F145" s="416" t="s">
        <v>282</v>
      </c>
      <c r="G145" s="417"/>
      <c r="H145" s="474">
        <f>H79/1000</f>
        <v>0</v>
      </c>
      <c r="I145" s="474">
        <f t="shared" ref="I145:Q145" si="33">I79/1000</f>
        <v>575.33879049999996</v>
      </c>
      <c r="J145" s="474">
        <f t="shared" si="33"/>
        <v>1145.6678432000001</v>
      </c>
      <c r="K145" s="474">
        <f t="shared" si="33"/>
        <v>1653.4586377000001</v>
      </c>
      <c r="L145" s="474">
        <f t="shared" si="33"/>
        <v>2453.3001136000003</v>
      </c>
      <c r="M145" s="474">
        <f t="shared" si="33"/>
        <v>2875.7505704999999</v>
      </c>
      <c r="N145" s="475">
        <f t="shared" si="33"/>
        <v>3185.1053910000005</v>
      </c>
      <c r="O145" s="390">
        <f t="shared" si="33"/>
        <v>3490.8276221000001</v>
      </c>
      <c r="P145" s="390">
        <f t="shared" si="33"/>
        <v>3551.8543199999999</v>
      </c>
      <c r="Q145" s="391">
        <f t="shared" si="33"/>
        <v>3638.8545138000004</v>
      </c>
    </row>
    <row r="146" spans="6:17" x14ac:dyDescent="0.45">
      <c r="F146" s="416" t="s">
        <v>283</v>
      </c>
      <c r="G146" s="417"/>
      <c r="H146" s="474">
        <f>(H70+H71)/1000</f>
        <v>0</v>
      </c>
      <c r="I146" s="474">
        <f t="shared" ref="I146:Q146" si="34">(I70+I71)/1000</f>
        <v>420.98274330000004</v>
      </c>
      <c r="J146" s="474">
        <f t="shared" si="34"/>
        <v>783.02310239999997</v>
      </c>
      <c r="K146" s="474">
        <f t="shared" si="34"/>
        <v>878.76930330000005</v>
      </c>
      <c r="L146" s="474">
        <f t="shared" si="34"/>
        <v>1212.9058368000001</v>
      </c>
      <c r="M146" s="474">
        <f t="shared" si="34"/>
        <v>1347.2282775000001</v>
      </c>
      <c r="N146" s="475">
        <f t="shared" si="34"/>
        <v>1455.9217100999999</v>
      </c>
      <c r="O146" s="390">
        <f t="shared" si="34"/>
        <v>1502.4894780000002</v>
      </c>
      <c r="P146" s="390">
        <f t="shared" si="34"/>
        <v>1515.11544</v>
      </c>
      <c r="Q146" s="391">
        <f t="shared" si="34"/>
        <v>1584.6472059</v>
      </c>
    </row>
    <row r="147" spans="6:17" x14ac:dyDescent="0.45">
      <c r="F147" s="416"/>
      <c r="G147" s="417"/>
      <c r="H147" s="474"/>
      <c r="I147" s="474"/>
      <c r="J147" s="474"/>
      <c r="K147" s="474"/>
      <c r="L147" s="474"/>
      <c r="M147" s="474"/>
      <c r="N147" s="475"/>
      <c r="O147" s="390"/>
      <c r="P147" s="390"/>
      <c r="Q147" s="391"/>
    </row>
    <row r="148" spans="6:17" x14ac:dyDescent="0.45">
      <c r="F148" s="416" t="s">
        <v>284</v>
      </c>
      <c r="G148" s="417"/>
      <c r="H148" s="474">
        <f>H99/1000</f>
        <v>0</v>
      </c>
      <c r="I148" s="474">
        <f t="shared" ref="I148:Q148" si="35">I99/1000</f>
        <v>0</v>
      </c>
      <c r="J148" s="474">
        <f t="shared" si="35"/>
        <v>190</v>
      </c>
      <c r="K148" s="474">
        <f t="shared" si="35"/>
        <v>380</v>
      </c>
      <c r="L148" s="474">
        <f t="shared" si="35"/>
        <v>1340</v>
      </c>
      <c r="M148" s="474">
        <f t="shared" si="35"/>
        <v>1990</v>
      </c>
      <c r="N148" s="475">
        <f t="shared" si="35"/>
        <v>2845</v>
      </c>
      <c r="O148" s="390">
        <f t="shared" si="35"/>
        <v>3358</v>
      </c>
      <c r="P148" s="390">
        <f t="shared" si="35"/>
        <v>3973.6</v>
      </c>
      <c r="Q148" s="391">
        <f t="shared" si="35"/>
        <v>4712.32</v>
      </c>
    </row>
    <row r="149" spans="6:17" ht="14.65" thickBot="1" x14ac:dyDescent="0.5">
      <c r="F149" s="416"/>
      <c r="G149" s="417"/>
      <c r="H149" s="474"/>
      <c r="I149" s="474"/>
      <c r="J149" s="474"/>
      <c r="K149" s="474"/>
      <c r="L149" s="474"/>
      <c r="M149" s="474"/>
      <c r="N149" s="475"/>
      <c r="O149" s="390"/>
      <c r="P149" s="390"/>
      <c r="Q149" s="391"/>
    </row>
    <row r="150" spans="6:17" ht="14.65" thickBot="1" x14ac:dyDescent="0.5">
      <c r="F150" s="414" t="s">
        <v>285</v>
      </c>
      <c r="G150" s="415"/>
      <c r="H150" s="472">
        <f>H126/1000</f>
        <v>-41.563866666666669</v>
      </c>
      <c r="I150" s="472">
        <f t="shared" ref="I150:Q150" si="36">I126/1000</f>
        <v>-401.66278516666659</v>
      </c>
      <c r="J150" s="472">
        <f t="shared" si="36"/>
        <v>-81.629881600000104</v>
      </c>
      <c r="K150" s="472">
        <f t="shared" si="36"/>
        <v>1475.0070209309333</v>
      </c>
      <c r="L150" s="472">
        <f t="shared" si="36"/>
        <v>3069.1178565196774</v>
      </c>
      <c r="M150" s="472">
        <f t="shared" si="36"/>
        <v>5848.9483327305152</v>
      </c>
      <c r="N150" s="473">
        <f t="shared" si="36"/>
        <v>8306.5004010046487</v>
      </c>
      <c r="O150" s="392">
        <f t="shared" si="36"/>
        <v>10518.651106306339</v>
      </c>
      <c r="P150" s="392">
        <f t="shared" si="36"/>
        <v>11727.311553735615</v>
      </c>
      <c r="Q150" s="393">
        <f t="shared" si="36"/>
        <v>12188.848880569156</v>
      </c>
    </row>
    <row r="151" spans="6:17" ht="14.65" thickBot="1" x14ac:dyDescent="0.5">
      <c r="F151" s="412"/>
      <c r="G151" s="413"/>
      <c r="H151" s="476"/>
      <c r="I151" s="476"/>
      <c r="J151" s="476"/>
      <c r="K151" s="476"/>
      <c r="L151" s="476"/>
      <c r="M151" s="476"/>
      <c r="N151" s="477"/>
      <c r="O151" s="394"/>
      <c r="P151" s="394"/>
      <c r="Q151" s="395"/>
    </row>
    <row r="152" spans="6:17" ht="14.65" thickBot="1" x14ac:dyDescent="0.5">
      <c r="F152" s="414" t="s">
        <v>286</v>
      </c>
      <c r="G152" s="415"/>
      <c r="H152" s="472">
        <f>'Flux de trésorerie (p)'!E15/1000</f>
        <v>-2.4927299999999999</v>
      </c>
      <c r="I152" s="472">
        <f>'Flux de trésorerie (p)'!F15/1000</f>
        <v>-336.19174549999997</v>
      </c>
      <c r="J152" s="472">
        <f>'Flux de trésorerie (p)'!G15/1000</f>
        <v>-491.35546153333331</v>
      </c>
      <c r="K152" s="472">
        <f>'Flux de trésorerie (p)'!H15/1000</f>
        <v>1412.305704188889</v>
      </c>
      <c r="L152" s="472">
        <f>'Flux de trésorerie (p)'!I15/1000</f>
        <v>3443.4020296575968</v>
      </c>
      <c r="M152" s="472">
        <f>'Flux de trésorerie (p)'!J15/1000</f>
        <v>6545.1520927359743</v>
      </c>
      <c r="N152" s="473">
        <f>'Flux de trésorerie (p)'!K15/1000</f>
        <v>8884.8655004756529</v>
      </c>
      <c r="O152" s="392">
        <f>'Flux de trésorerie (p)'!L15/1000</f>
        <v>11054.900453197617</v>
      </c>
      <c r="P152" s="392">
        <f>'Flux de trésorerie (p)'!M15/1000</f>
        <v>11956.074554904666</v>
      </c>
      <c r="Q152" s="393">
        <f>'Flux de trésorerie (p)'!N15/1000</f>
        <v>12167.511454191703</v>
      </c>
    </row>
    <row r="153" spans="6:17" ht="14.65" thickBot="1" x14ac:dyDescent="0.5">
      <c r="F153" s="412"/>
      <c r="G153" s="413"/>
      <c r="H153" s="476"/>
      <c r="I153" s="476"/>
      <c r="J153" s="476"/>
      <c r="K153" s="476"/>
      <c r="L153" s="476"/>
      <c r="M153" s="476"/>
      <c r="N153" s="477"/>
      <c r="O153" s="394"/>
      <c r="P153" s="394"/>
      <c r="Q153" s="395"/>
    </row>
    <row r="154" spans="6:17" ht="14.65" thickBot="1" x14ac:dyDescent="0.5">
      <c r="F154" s="414" t="s">
        <v>287</v>
      </c>
      <c r="G154" s="415"/>
      <c r="H154" s="472">
        <f>'Flux de trésorerie (p)'!E23/1000</f>
        <v>-74.166666666666671</v>
      </c>
      <c r="I154" s="472">
        <f>'Flux de trésorerie (p)'!F23/1000</f>
        <v>-544.66666666666663</v>
      </c>
      <c r="J154" s="472">
        <f>'Flux de trésorerie (p)'!G23/1000</f>
        <v>-211.36</v>
      </c>
      <c r="K154" s="472">
        <f>'Flux de trésorerie (p)'!H23/1000</f>
        <v>-190.72720000000001</v>
      </c>
      <c r="L154" s="472">
        <f>'Flux de trésorerie (p)'!I23/1000</f>
        <v>-211.95174400000008</v>
      </c>
      <c r="M154" s="472">
        <f>'Flux de trésorerie (p)'!J23/1000</f>
        <v>-211.55127887999993</v>
      </c>
      <c r="N154" s="473">
        <f>'Flux de trésorerie (p)'!K23/1000</f>
        <v>-224.5443294576001</v>
      </c>
      <c r="O154" s="392">
        <f>'Flux de trésorerie (p)'!L23/1000</f>
        <v>-229.4503422967519</v>
      </c>
      <c r="P154" s="392">
        <f>'Flux de trésorerie (p)'!M23/1000</f>
        <v>-233.78973170518714</v>
      </c>
      <c r="Q154" s="393">
        <f>'Flux de trésorerie (p)'!N23/1000</f>
        <v>-249.58392802991565</v>
      </c>
    </row>
    <row r="155" spans="6:17" ht="14.65" thickBot="1" x14ac:dyDescent="0.5">
      <c r="F155" s="412" t="s">
        <v>288</v>
      </c>
      <c r="G155" s="413"/>
      <c r="H155" s="476"/>
      <c r="I155" s="476"/>
      <c r="J155" s="476"/>
      <c r="K155" s="476"/>
      <c r="L155" s="476"/>
      <c r="M155" s="476"/>
      <c r="N155" s="477"/>
      <c r="O155" s="394"/>
      <c r="P155" s="394"/>
      <c r="Q155" s="395"/>
    </row>
    <row r="156" spans="6:17" ht="14.65" thickBot="1" x14ac:dyDescent="0.5">
      <c r="F156" s="414" t="s">
        <v>289</v>
      </c>
      <c r="G156" s="415"/>
      <c r="H156" s="472">
        <f>'Flux de trésorerie (p)'!E31/1000</f>
        <v>2000</v>
      </c>
      <c r="I156" s="472">
        <f>'Flux de trésorerie (p)'!F31/1000</f>
        <v>250</v>
      </c>
      <c r="J156" s="472">
        <f>'Flux de trésorerie (p)'!G31/1000</f>
        <v>0</v>
      </c>
      <c r="K156" s="472">
        <f>'Flux de trésorerie (p)'!H31/1000</f>
        <v>-49.900054195567122</v>
      </c>
      <c r="L156" s="472">
        <f>'Flux de trésorerie (p)'!I31/1000</f>
        <v>-49.949977126975107</v>
      </c>
      <c r="M156" s="472">
        <f>'Flux de trésorerie (p)'!J31/1000</f>
        <v>-49.999950004202155</v>
      </c>
      <c r="N156" s="473">
        <f>'Flux de trésorerie (p)'!K31/1000</f>
        <v>-50.049972877217044</v>
      </c>
      <c r="O156" s="392">
        <f>'Flux de trésorerie (p)'!L31/1000</f>
        <v>-50.100045796038465</v>
      </c>
      <c r="P156" s="392">
        <f>'Flux de trésorerie (p)'!M31/1000</f>
        <v>-1.0641088010743261E-13</v>
      </c>
      <c r="Q156" s="393">
        <f>'Flux de trésorerie (p)'!N31/1000</f>
        <v>0</v>
      </c>
    </row>
    <row r="157" spans="6:17" ht="14.65" thickBot="1" x14ac:dyDescent="0.5">
      <c r="F157" s="412"/>
      <c r="G157" s="413"/>
      <c r="H157" s="476"/>
      <c r="I157" s="476"/>
      <c r="J157" s="476"/>
      <c r="K157" s="476"/>
      <c r="L157" s="476"/>
      <c r="M157" s="476"/>
      <c r="N157" s="477"/>
      <c r="O157" s="394"/>
      <c r="P157" s="394"/>
      <c r="Q157" s="395"/>
    </row>
    <row r="158" spans="6:17" ht="14.65" thickBot="1" x14ac:dyDescent="0.5">
      <c r="F158" s="410" t="s">
        <v>290</v>
      </c>
      <c r="G158" s="411"/>
      <c r="H158" s="478">
        <f>'Flux de trésorerie (p)'!E33/1000</f>
        <v>1923.3406033333333</v>
      </c>
      <c r="I158" s="478">
        <f>'Flux de trésorerie (p)'!F33/1000</f>
        <v>-630.85841216666654</v>
      </c>
      <c r="J158" s="478">
        <f>'Flux de trésorerie (p)'!G33/1000</f>
        <v>-702.71546153333327</v>
      </c>
      <c r="K158" s="478">
        <f>'Flux de trésorerie (p)'!H33/1000</f>
        <v>1171.6784499933219</v>
      </c>
      <c r="L158" s="478">
        <f>'Flux de trésorerie (p)'!I33/1000</f>
        <v>3181.5003085306216</v>
      </c>
      <c r="M158" s="478">
        <f>'Flux de trésorerie (p)'!J33/1000</f>
        <v>6283.6008638517715</v>
      </c>
      <c r="N158" s="479">
        <f>'Flux de trésorerie (p)'!K33/1000</f>
        <v>8610.2711981408356</v>
      </c>
      <c r="O158" s="396">
        <f>'Flux de trésorerie (p)'!L33/1000</f>
        <v>10775.350065104827</v>
      </c>
      <c r="P158" s="396">
        <f>'Flux de trésorerie (p)'!M33/1000</f>
        <v>11722.284823199479</v>
      </c>
      <c r="Q158" s="397">
        <f>'Flux de trésorerie (p)'!N33/1000</f>
        <v>11917.927526161788</v>
      </c>
    </row>
    <row r="159" spans="6:17" x14ac:dyDescent="0.45">
      <c r="F159" s="400"/>
      <c r="G159" s="401" t="s">
        <v>211</v>
      </c>
      <c r="H159" s="480">
        <f>'Flux de trésorerie (p)'!E37/1000</f>
        <v>1948.1465033333332</v>
      </c>
      <c r="I159" s="480">
        <f>'Flux de trésorerie (p)'!F37/1000</f>
        <v>1317.2880911666666</v>
      </c>
      <c r="J159" s="480">
        <f>'Flux de trésorerie (p)'!G37/1000</f>
        <v>614.57262963333346</v>
      </c>
      <c r="K159" s="480">
        <f>'Flux de trésorerie (p)'!H37/1000</f>
        <v>1786.2510796266552</v>
      </c>
      <c r="L159" s="480">
        <f>'Flux de trésorerie (p)'!I37/1000</f>
        <v>4967.7513881572768</v>
      </c>
      <c r="M159" s="480">
        <f>'Flux de trésorerie (p)'!J37/1000</f>
        <v>11251.352252009048</v>
      </c>
      <c r="N159" s="480">
        <f>'Flux de trésorerie (p)'!K37/1000</f>
        <v>19861.623450149888</v>
      </c>
      <c r="O159" s="387">
        <f>'Flux de trésorerie (p)'!L37/1000</f>
        <v>30636.973515254715</v>
      </c>
      <c r="P159" s="387">
        <f>'Flux de trésorerie (p)'!M37/1000</f>
        <v>42359.258338454194</v>
      </c>
      <c r="Q159" s="387">
        <f>'Flux de trésorerie (p)'!N37/1000</f>
        <v>54277.185864615982</v>
      </c>
    </row>
  </sheetData>
  <mergeCells count="27">
    <mergeCell ref="C117:G117"/>
    <mergeCell ref="C3:G6"/>
    <mergeCell ref="C18:G18"/>
    <mergeCell ref="C27:G27"/>
    <mergeCell ref="C104:G104"/>
    <mergeCell ref="C112:G112"/>
    <mergeCell ref="C128:G128"/>
    <mergeCell ref="C130:G130"/>
    <mergeCell ref="C132:G132"/>
    <mergeCell ref="C122:G122"/>
    <mergeCell ref="C126:G126"/>
    <mergeCell ref="F143:G143"/>
    <mergeCell ref="F145:G145"/>
    <mergeCell ref="F146:G146"/>
    <mergeCell ref="F144:G144"/>
    <mergeCell ref="F147:G147"/>
    <mergeCell ref="F148:G148"/>
    <mergeCell ref="F149:G149"/>
    <mergeCell ref="F150:G150"/>
    <mergeCell ref="F151:G151"/>
    <mergeCell ref="F152:G152"/>
    <mergeCell ref="F158:G158"/>
    <mergeCell ref="F153:G153"/>
    <mergeCell ref="F154:G154"/>
    <mergeCell ref="F155:G155"/>
    <mergeCell ref="F156:G156"/>
    <mergeCell ref="F157:G157"/>
  </mergeCells>
  <conditionalFormatting sqref="H26:K26 H19:K24 H77:K100 H103:K103 H105:K122 H9:K17 H28:K34 H69:K69 H35:Q68 H124:K126 H123:J123">
    <cfRule type="cellIs" dxfId="45" priority="23" operator="lessThan">
      <formula>0</formula>
    </cfRule>
  </conditionalFormatting>
  <conditionalFormatting sqref="H70:K76">
    <cfRule type="cellIs" dxfId="44" priority="19" operator="lessThan">
      <formula>0</formula>
    </cfRule>
  </conditionalFormatting>
  <conditionalFormatting sqref="H27:K27">
    <cfRule type="cellIs" dxfId="43" priority="18" operator="lessThan">
      <formula>0</formula>
    </cfRule>
  </conditionalFormatting>
  <conditionalFormatting sqref="H101:K102">
    <cfRule type="cellIs" dxfId="42" priority="16" operator="lessThan">
      <formula>0</formula>
    </cfRule>
  </conditionalFormatting>
  <conditionalFormatting sqref="H25:K25">
    <cfRule type="cellIs" dxfId="41" priority="17" operator="lessThan">
      <formula>0</formula>
    </cfRule>
  </conditionalFormatting>
  <conditionalFormatting sqref="H18:K18">
    <cfRule type="cellIs" dxfId="40" priority="15" operator="lessThan">
      <formula>0</formula>
    </cfRule>
  </conditionalFormatting>
  <conditionalFormatting sqref="H104:K104">
    <cfRule type="cellIs" dxfId="39" priority="14" operator="lessThan">
      <formula>0</formula>
    </cfRule>
  </conditionalFormatting>
  <conditionalFormatting sqref="H128:K128">
    <cfRule type="cellIs" dxfId="38" priority="13" operator="lessThan">
      <formula>0</formula>
    </cfRule>
  </conditionalFormatting>
  <conditionalFormatting sqref="H130:K130">
    <cfRule type="cellIs" dxfId="37" priority="12" operator="lessThan">
      <formula>0</formula>
    </cfRule>
  </conditionalFormatting>
  <conditionalFormatting sqref="H132:K132">
    <cfRule type="cellIs" dxfId="36" priority="11" operator="lessThan">
      <formula>0</formula>
    </cfRule>
  </conditionalFormatting>
  <conditionalFormatting sqref="L28:Q34 L26:Q26 L19:Q24 L77:Q100 L103:Q103 L9:Q17 L69:Q69 L105:Q126 K123">
    <cfRule type="cellIs" dxfId="35" priority="10" operator="lessThan">
      <formula>0</formula>
    </cfRule>
  </conditionalFormatting>
  <conditionalFormatting sqref="L70:Q76">
    <cfRule type="cellIs" dxfId="34" priority="9" operator="lessThan">
      <formula>0</formula>
    </cfRule>
  </conditionalFormatting>
  <conditionalFormatting sqref="L27:Q27">
    <cfRule type="cellIs" dxfId="33" priority="8" operator="lessThan">
      <formula>0</formula>
    </cfRule>
  </conditionalFormatting>
  <conditionalFormatting sqref="L101:Q102">
    <cfRule type="cellIs" dxfId="32" priority="6" operator="lessThan">
      <formula>0</formula>
    </cfRule>
  </conditionalFormatting>
  <conditionalFormatting sqref="L25:Q25">
    <cfRule type="cellIs" dxfId="31" priority="7" operator="lessThan">
      <formula>0</formula>
    </cfRule>
  </conditionalFormatting>
  <conditionalFormatting sqref="L18:Q18">
    <cfRule type="cellIs" dxfId="30" priority="5" operator="lessThan">
      <formula>0</formula>
    </cfRule>
  </conditionalFormatting>
  <conditionalFormatting sqref="L104:Q104">
    <cfRule type="cellIs" dxfId="29" priority="4" operator="lessThan">
      <formula>0</formula>
    </cfRule>
  </conditionalFormatting>
  <conditionalFormatting sqref="L128:Q128">
    <cfRule type="cellIs" dxfId="28" priority="3" operator="lessThan">
      <formula>0</formula>
    </cfRule>
  </conditionalFormatting>
  <conditionalFormatting sqref="L130:Q130">
    <cfRule type="cellIs" dxfId="27" priority="2" operator="lessThan">
      <formula>0</formula>
    </cfRule>
  </conditionalFormatting>
  <conditionalFormatting sqref="L132:Q132">
    <cfRule type="cellIs" dxfId="26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36A9F-4DDE-4221-BA84-EC27435FFDC0}">
  <dimension ref="C1:R74"/>
  <sheetViews>
    <sheetView zoomScale="90" zoomScaleNormal="90" workbookViewId="0">
      <pane xSplit="2" ySplit="2" topLeftCell="D3" activePane="bottomRight" state="frozen"/>
      <selection activeCell="A6" sqref="A6"/>
      <selection pane="topRight" activeCell="A6" sqref="A6"/>
      <selection pane="bottomLeft" activeCell="A6" sqref="A6"/>
      <selection pane="bottomRight" activeCell="K77" sqref="K77"/>
    </sheetView>
  </sheetViews>
  <sheetFormatPr baseColWidth="10" defaultColWidth="10.59765625" defaultRowHeight="11.65" x14ac:dyDescent="0.35"/>
  <cols>
    <col min="1" max="6" width="10.59765625" style="91"/>
    <col min="7" max="7" width="11.9296875" style="91" bestFit="1" customWidth="1"/>
    <col min="8" max="9" width="10.59765625" style="91"/>
    <col min="10" max="10" width="11.33203125" style="91" bestFit="1" customWidth="1"/>
    <col min="11" max="14" width="10.59765625" style="91"/>
    <col min="15" max="15" width="10.46484375" style="91" customWidth="1"/>
    <col min="16" max="16384" width="10.59765625" style="91"/>
  </cols>
  <sheetData>
    <row r="1" spans="3:18" ht="12" thickBot="1" x14ac:dyDescent="0.4"/>
    <row r="2" spans="3:18" ht="12" thickBot="1" x14ac:dyDescent="0.4">
      <c r="C2" s="444" t="s">
        <v>95</v>
      </c>
      <c r="D2" s="445"/>
      <c r="E2" s="445"/>
      <c r="F2" s="445"/>
      <c r="G2" s="445"/>
      <c r="H2" s="92">
        <v>2020</v>
      </c>
      <c r="I2" s="93">
        <v>2021</v>
      </c>
      <c r="J2" s="93">
        <v>2022</v>
      </c>
      <c r="K2" s="93">
        <v>2023</v>
      </c>
      <c r="L2" s="93">
        <v>2024</v>
      </c>
      <c r="M2" s="94">
        <v>2025</v>
      </c>
      <c r="N2" s="93">
        <v>2026</v>
      </c>
      <c r="O2" s="94">
        <v>2027</v>
      </c>
      <c r="P2" s="93">
        <v>2028</v>
      </c>
      <c r="Q2" s="94">
        <v>2029</v>
      </c>
      <c r="R2" s="93">
        <v>2030</v>
      </c>
    </row>
    <row r="3" spans="3:18" ht="14.65" customHeight="1" x14ac:dyDescent="0.35">
      <c r="C3" s="456" t="s">
        <v>96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</row>
    <row r="4" spans="3:18" x14ac:dyDescent="0.35">
      <c r="C4" s="95"/>
      <c r="D4" s="96" t="s">
        <v>97</v>
      </c>
      <c r="E4" s="97"/>
      <c r="F4" s="97"/>
      <c r="G4" s="98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3:18" x14ac:dyDescent="0.35">
      <c r="C5" s="101" t="s">
        <v>99</v>
      </c>
      <c r="D5" s="102"/>
      <c r="E5" s="103"/>
      <c r="F5" s="103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3:18" x14ac:dyDescent="0.35">
      <c r="C6" s="101" t="s">
        <v>100</v>
      </c>
      <c r="D6" s="96" t="s">
        <v>98</v>
      </c>
      <c r="E6" s="97"/>
      <c r="F6" s="97"/>
      <c r="G6" s="98"/>
      <c r="H6" s="99">
        <f t="shared" ref="H6:R6" si="0">SUM(H7:H10)</f>
        <v>112486</v>
      </c>
      <c r="I6" s="99">
        <f t="shared" si="0"/>
        <v>139988.79999999999</v>
      </c>
      <c r="J6" s="99">
        <f t="shared" si="0"/>
        <v>623921.47200000007</v>
      </c>
      <c r="K6" s="99">
        <f t="shared" si="0"/>
        <v>1073717.4656</v>
      </c>
      <c r="L6" s="99">
        <f t="shared" si="0"/>
        <v>1595595.5804799998</v>
      </c>
      <c r="M6" s="99">
        <f t="shared" si="0"/>
        <v>2289820.2431839998</v>
      </c>
      <c r="N6" s="99">
        <f t="shared" si="0"/>
        <v>2945315.5678071999</v>
      </c>
      <c r="O6" s="99">
        <f t="shared" si="0"/>
        <v>3578020.1479559606</v>
      </c>
      <c r="P6" s="99">
        <f t="shared" si="0"/>
        <v>4172314.5888954224</v>
      </c>
      <c r="Q6" s="99">
        <f t="shared" si="0"/>
        <v>4673823.9180151671</v>
      </c>
      <c r="R6" s="99">
        <f t="shared" si="0"/>
        <v>5120692.139385581</v>
      </c>
    </row>
    <row r="7" spans="3:18" x14ac:dyDescent="0.35">
      <c r="C7" s="101" t="s">
        <v>102</v>
      </c>
      <c r="D7" s="102"/>
      <c r="E7" s="103" t="s">
        <v>150</v>
      </c>
      <c r="F7" s="103"/>
      <c r="G7" s="104"/>
      <c r="H7" s="105">
        <v>112486</v>
      </c>
      <c r="I7" s="105">
        <f>H7+'Compte de résultat'!H14-'Compte de résultat'!H106</f>
        <v>89988.800000000003</v>
      </c>
      <c r="J7" s="105">
        <f>I7+'Compte de résultat'!I14-'Compte de résultat'!I106</f>
        <v>222921.47200000001</v>
      </c>
      <c r="K7" s="105">
        <f>J7+'Compte de résultat'!J14-'Compte de résultat'!J106</f>
        <v>654197.4656</v>
      </c>
      <c r="L7" s="105">
        <f>K7+'Compte de résultat'!K14-'Compte de résultat'!K106</f>
        <v>1156660.1804799999</v>
      </c>
      <c r="M7" s="105">
        <f>L7+'Compte de résultat'!L14-'Compte de résultat'!L106</f>
        <v>1830529.8851839998</v>
      </c>
      <c r="N7" s="105">
        <f>M7+'Compte de résultat'!M14-'Compte de résultat'!M106</f>
        <v>2464684.3401472</v>
      </c>
      <c r="O7" s="105">
        <f>N7+'Compte de résultat'!N14-'Compte de résultat'!N106</f>
        <v>3075013.4801177606</v>
      </c>
      <c r="P7" s="105">
        <f>O7+'Compte de résultat'!O14-'Compte de résultat'!O106</f>
        <v>3645846.8312942083</v>
      </c>
      <c r="Q7" s="105">
        <f>P7+'Compte de résultat'!P14-'Compte de résultat'!P106</f>
        <v>4122755.8010353665</v>
      </c>
      <c r="R7" s="105">
        <f>Q7+'Compte de résultat'!Q14-'Compte de résultat'!Q106</f>
        <v>4543828.105628293</v>
      </c>
    </row>
    <row r="8" spans="3:18" x14ac:dyDescent="0.35">
      <c r="C8" s="101" t="s">
        <v>103</v>
      </c>
      <c r="D8" s="102"/>
      <c r="E8" s="103" t="s">
        <v>101</v>
      </c>
      <c r="F8" s="103"/>
      <c r="G8" s="104"/>
      <c r="H8" s="105"/>
      <c r="I8" s="105">
        <f>'Hypothèses de CAPEX'!D3</f>
        <v>50000</v>
      </c>
      <c r="J8" s="105">
        <f>'Hypothèses de CAPEX'!$D3*('Hypothèses de CAPEX'!$F3^(J$2-$I$2))</f>
        <v>51000</v>
      </c>
      <c r="K8" s="105">
        <f>'Hypothèses de CAPEX'!$D3*('Hypothèses de CAPEX'!$F3^(K$2-$I$2))</f>
        <v>52020</v>
      </c>
      <c r="L8" s="105">
        <f>'Hypothèses de CAPEX'!$D3*('Hypothèses de CAPEX'!$F3^(L$2-$I$2))</f>
        <v>53060.399999999994</v>
      </c>
      <c r="M8" s="105">
        <f>'Hypothèses de CAPEX'!$D3*('Hypothèses de CAPEX'!$F3^(M$2-$I$2))</f>
        <v>54121.608</v>
      </c>
      <c r="N8" s="105">
        <f>'Hypothèses de CAPEX'!$D3*('Hypothèses de CAPEX'!$F3^(N$2-$I$2))</f>
        <v>55204.040160000004</v>
      </c>
      <c r="O8" s="105">
        <f>'Hypothèses de CAPEX'!$D3*('Hypothèses de CAPEX'!$F3^(O$2-$I$2))</f>
        <v>56308.120963200003</v>
      </c>
      <c r="P8" s="105">
        <f>'Hypothèses de CAPEX'!$D3*('Hypothèses de CAPEX'!$F3^(P$2-$I$2))</f>
        <v>57434.283382463989</v>
      </c>
      <c r="Q8" s="105">
        <f>'Hypothèses de CAPEX'!$D3*('Hypothèses de CAPEX'!$F3^(Q$2-$I$2))</f>
        <v>58582.969050113279</v>
      </c>
      <c r="R8" s="105">
        <f>'Hypothèses de CAPEX'!$D3*('Hypothèses de CAPEX'!$F3^(R$2-$I$2))</f>
        <v>59754.62843111554</v>
      </c>
    </row>
    <row r="9" spans="3:18" x14ac:dyDescent="0.35">
      <c r="C9" s="101" t="s">
        <v>102</v>
      </c>
      <c r="D9" s="102"/>
      <c r="E9" s="103" t="s">
        <v>276</v>
      </c>
      <c r="F9" s="103"/>
      <c r="G9" s="104"/>
      <c r="H9" s="105"/>
      <c r="I9" s="105"/>
      <c r="J9" s="105">
        <f>'Hypothèses de CAPEX'!D4</f>
        <v>200000</v>
      </c>
      <c r="K9" s="105">
        <f>'Hypothèses de CAPEX'!$D4*('Hypothèses de CAPEX'!$F4^(K$2-$J$2))</f>
        <v>210000</v>
      </c>
      <c r="L9" s="105">
        <f>'Hypothèses de CAPEX'!$D4*('Hypothèses de CAPEX'!$F4^(L$2-$J$2))</f>
        <v>220500</v>
      </c>
      <c r="M9" s="105">
        <f>'Hypothèses de CAPEX'!$D4*('Hypothèses de CAPEX'!$F4^(M$2-$J$2))</f>
        <v>231525.00000000003</v>
      </c>
      <c r="N9" s="105">
        <f>'Hypothèses de CAPEX'!$D4*('Hypothèses de CAPEX'!$F4^(N$2-$J$2))</f>
        <v>243101.25</v>
      </c>
      <c r="O9" s="105">
        <f>'Hypothèses de CAPEX'!$D4*('Hypothèses de CAPEX'!$F4^(O$2-$J$2))</f>
        <v>255256.31250000003</v>
      </c>
      <c r="P9" s="105">
        <f>'Hypothèses de CAPEX'!$D4*('Hypothèses de CAPEX'!$F4^(P$2-$J$2))</f>
        <v>268019.12812499999</v>
      </c>
      <c r="Q9" s="105">
        <f>'Hypothèses de CAPEX'!$D4*('Hypothèses de CAPEX'!$F4^(Q$2-$J$2))</f>
        <v>281420.08453125006</v>
      </c>
      <c r="R9" s="105">
        <f>'Hypothèses de CAPEX'!$D4*('Hypothèses de CAPEX'!$F4^(R$2-$J$2))</f>
        <v>295491.08875781251</v>
      </c>
    </row>
    <row r="10" spans="3:18" x14ac:dyDescent="0.35">
      <c r="C10" s="101" t="s">
        <v>104</v>
      </c>
      <c r="D10" s="102"/>
      <c r="E10" s="103" t="s">
        <v>277</v>
      </c>
      <c r="F10" s="103"/>
      <c r="G10" s="104"/>
      <c r="H10" s="105"/>
      <c r="I10" s="105"/>
      <c r="J10" s="105">
        <f>'Hypothèses de CAPEX'!D5</f>
        <v>150000</v>
      </c>
      <c r="K10" s="105">
        <f>'Hypothèses de CAPEX'!$D5*('Hypothèses de CAPEX'!$F5^(K$2-$J$2))</f>
        <v>157500</v>
      </c>
      <c r="L10" s="105">
        <f>'Hypothèses de CAPEX'!$D5*('Hypothèses de CAPEX'!$F5^(L$2-$J$2))</f>
        <v>165375</v>
      </c>
      <c r="M10" s="105">
        <f>'Hypothèses de CAPEX'!$D5*('Hypothèses de CAPEX'!$F5^(M$2-$J$2))</f>
        <v>173643.75000000003</v>
      </c>
      <c r="N10" s="105">
        <f>'Hypothèses de CAPEX'!$D5*('Hypothèses de CAPEX'!$F5^(N$2-$J$2))</f>
        <v>182325.9375</v>
      </c>
      <c r="O10" s="105">
        <f>'Hypothèses de CAPEX'!$D5*('Hypothèses de CAPEX'!$F5^(O$2-$J$2))</f>
        <v>191442.23437500003</v>
      </c>
      <c r="P10" s="105">
        <f>'Hypothèses de CAPEX'!$D5*('Hypothèses de CAPEX'!$F5^(P$2-$J$2))</f>
        <v>201014.34609375001</v>
      </c>
      <c r="Q10" s="105">
        <f>'Hypothèses de CAPEX'!$D5*('Hypothèses de CAPEX'!$F5^(Q$2-$J$2))</f>
        <v>211065.06339843755</v>
      </c>
      <c r="R10" s="105">
        <f>'Hypothèses de CAPEX'!$D5*('Hypothèses de CAPEX'!$F5^(R$2-$J$2))</f>
        <v>221618.31656835938</v>
      </c>
    </row>
    <row r="11" spans="3:18" x14ac:dyDescent="0.35">
      <c r="C11" s="112" t="s">
        <v>107</v>
      </c>
      <c r="D11" s="102"/>
      <c r="E11" s="103"/>
      <c r="F11" s="10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  <row r="12" spans="3:18" x14ac:dyDescent="0.35">
      <c r="C12" s="101" t="s">
        <v>105</v>
      </c>
      <c r="D12" s="96" t="s">
        <v>106</v>
      </c>
      <c r="E12" s="97"/>
      <c r="F12" s="97"/>
      <c r="G12" s="98"/>
      <c r="H12" s="99">
        <f t="shared" ref="H12:R12" si="1">SUM(H13:H14)</f>
        <v>0</v>
      </c>
      <c r="I12" s="99">
        <f t="shared" si="1"/>
        <v>0</v>
      </c>
      <c r="J12" s="99">
        <f t="shared" si="1"/>
        <v>47500</v>
      </c>
      <c r="K12" s="99">
        <f t="shared" si="1"/>
        <v>80000</v>
      </c>
      <c r="L12" s="99">
        <f t="shared" si="1"/>
        <v>87500</v>
      </c>
      <c r="M12" s="99">
        <f t="shared" si="1"/>
        <v>105000</v>
      </c>
      <c r="N12" s="99">
        <f t="shared" si="1"/>
        <v>112500</v>
      </c>
      <c r="O12" s="99">
        <f t="shared" si="1"/>
        <v>122500</v>
      </c>
      <c r="P12" s="99">
        <f t="shared" si="1"/>
        <v>127500</v>
      </c>
      <c r="Q12" s="99">
        <f t="shared" si="1"/>
        <v>127500</v>
      </c>
      <c r="R12" s="99">
        <f t="shared" si="1"/>
        <v>132500</v>
      </c>
    </row>
    <row r="13" spans="3:18" x14ac:dyDescent="0.35">
      <c r="C13" s="101" t="s">
        <v>105</v>
      </c>
      <c r="D13" s="96"/>
      <c r="E13" s="103" t="s">
        <v>151</v>
      </c>
      <c r="F13" s="97"/>
      <c r="G13" s="98"/>
      <c r="H13" s="105"/>
      <c r="I13" s="105">
        <f>'Hypothèses de CAPEX'!$D6*'Hypothèses de recrutement'!G40</f>
        <v>0</v>
      </c>
      <c r="J13" s="105">
        <f>'Hypothèses de CAPEX'!$D6*'Hypothèses de recrutement'!H40*('Hypothèses de CAPEX'!$F6^(J2-$I$2))</f>
        <v>7500</v>
      </c>
      <c r="K13" s="105">
        <f>'Hypothèses de CAPEX'!$D$6*'Hypothèses de recrutement'!I40*('Hypothèses de CAPEX'!$F6^(K2-$I$2))</f>
        <v>15000</v>
      </c>
      <c r="L13" s="105">
        <f>'Hypothèses de CAPEX'!$D$6*'Hypothèses de recrutement'!J40*('Hypothèses de CAPEX'!$F6^(L2-$I$2))</f>
        <v>17500</v>
      </c>
      <c r="M13" s="105">
        <f>'Hypothèses de CAPEX'!$D$6*'Hypothèses de recrutement'!K40*('Hypothèses de CAPEX'!$F6^(M2-$I$2))</f>
        <v>25000</v>
      </c>
      <c r="N13" s="105">
        <f>'Hypothèses de CAPEX'!$D$6*'Hypothèses de recrutement'!L40*('Hypothèses de CAPEX'!$F6^(N2-$I$2))</f>
        <v>27500</v>
      </c>
      <c r="O13" s="105">
        <f>'Hypothèses de CAPEX'!$D$6*'Hypothèses de recrutement'!M40*('Hypothèses de CAPEX'!$F6^(O2-$I$2))</f>
        <v>32500</v>
      </c>
      <c r="P13" s="105">
        <f>'Hypothèses de CAPEX'!$D$6*'Hypothèses de recrutement'!N40*('Hypothèses de CAPEX'!$F6^(P2-$I$2))</f>
        <v>37500</v>
      </c>
      <c r="Q13" s="105">
        <f>'Hypothèses de CAPEX'!$D$6*'Hypothèses de recrutement'!O40*('Hypothèses de CAPEX'!$F6^(Q2-$I$2))</f>
        <v>37500</v>
      </c>
      <c r="R13" s="105">
        <f>'Hypothèses de CAPEX'!$D$6*'Hypothèses de recrutement'!P40*('Hypothèses de CAPEX'!$F6^(R2-$I$2))</f>
        <v>37500</v>
      </c>
    </row>
    <row r="14" spans="3:18" x14ac:dyDescent="0.35">
      <c r="C14" s="101" t="s">
        <v>102</v>
      </c>
      <c r="D14" s="102"/>
      <c r="E14" s="103" t="s">
        <v>152</v>
      </c>
      <c r="F14" s="103"/>
      <c r="G14" s="104"/>
      <c r="H14" s="105"/>
      <c r="I14" s="105">
        <f>'Hypothèses de CAPEX'!$D7*'Hypothèses de recrutement'!G41</f>
        <v>0</v>
      </c>
      <c r="J14" s="105">
        <f>'Hypothèses de CAPEX'!$D7*'Hypothèses de recrutement'!H41*('Hypothèses de CAPEX'!$F7^(J3-$I$2))</f>
        <v>40000</v>
      </c>
      <c r="K14" s="105">
        <f>'Hypothèses de CAPEX'!$D7*'Hypothèses de recrutement'!I41*('Hypothèses de CAPEX'!$F7^(K3-$I$2))</f>
        <v>65000</v>
      </c>
      <c r="L14" s="105">
        <f>'Hypothèses de CAPEX'!$D7*'Hypothèses de recrutement'!J41*('Hypothèses de CAPEX'!$F7^(L3-$I$2))</f>
        <v>70000</v>
      </c>
      <c r="M14" s="105">
        <f>'Hypothèses de CAPEX'!$D7*'Hypothèses de recrutement'!K41*('Hypothèses de CAPEX'!$F7^(M3-$I$2))</f>
        <v>80000</v>
      </c>
      <c r="N14" s="105">
        <f>'Hypothèses de CAPEX'!$D7*'Hypothèses de recrutement'!L41*('Hypothèses de CAPEX'!$F7^(N3-$I$2))</f>
        <v>85000</v>
      </c>
      <c r="O14" s="105">
        <f>'Hypothèses de CAPEX'!$D7*'Hypothèses de recrutement'!M41*('Hypothèses de CAPEX'!$F7^(O3-$I$2))</f>
        <v>90000</v>
      </c>
      <c r="P14" s="105">
        <f>'Hypothèses de CAPEX'!$D7*'Hypothèses de recrutement'!N41*('Hypothèses de CAPEX'!$F7^(P3-$I$2))</f>
        <v>90000</v>
      </c>
      <c r="Q14" s="105">
        <f>'Hypothèses de CAPEX'!$D7*'Hypothèses de recrutement'!O41*('Hypothèses de CAPEX'!$F7^(Q3-$I$2))</f>
        <v>90000</v>
      </c>
      <c r="R14" s="105">
        <f>'Hypothèses de CAPEX'!$D7*'Hypothèses de recrutement'!P41*('Hypothèses de CAPEX'!$F7^(R3-$I$2))</f>
        <v>95000</v>
      </c>
    </row>
    <row r="15" spans="3:18" x14ac:dyDescent="0.35">
      <c r="C15" s="101"/>
      <c r="D15" s="102"/>
      <c r="E15" s="103"/>
      <c r="F15" s="103"/>
      <c r="G15" s="10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6" spans="3:18" x14ac:dyDescent="0.35">
      <c r="C16" s="112" t="s">
        <v>108</v>
      </c>
      <c r="D16" s="96" t="s">
        <v>110</v>
      </c>
      <c r="E16" s="97"/>
      <c r="F16" s="97"/>
      <c r="G16" s="98"/>
      <c r="H16" s="99">
        <f>H17</f>
        <v>0</v>
      </c>
      <c r="I16" s="99">
        <f t="shared" ref="I16:R16" si="2">I17</f>
        <v>7500</v>
      </c>
      <c r="J16" s="99">
        <f t="shared" si="2"/>
        <v>10500</v>
      </c>
      <c r="K16" s="99">
        <f t="shared" si="2"/>
        <v>15000</v>
      </c>
      <c r="L16" s="99">
        <f t="shared" si="2"/>
        <v>15000</v>
      </c>
      <c r="M16" s="99">
        <f t="shared" si="2"/>
        <v>15000</v>
      </c>
      <c r="N16" s="99">
        <f t="shared" si="2"/>
        <v>15000</v>
      </c>
      <c r="O16" s="99">
        <f t="shared" si="2"/>
        <v>15000</v>
      </c>
      <c r="P16" s="99">
        <f t="shared" si="2"/>
        <v>15000</v>
      </c>
      <c r="Q16" s="99">
        <f t="shared" si="2"/>
        <v>15000</v>
      </c>
      <c r="R16" s="99">
        <f t="shared" si="2"/>
        <v>15000</v>
      </c>
    </row>
    <row r="17" spans="3:18" x14ac:dyDescent="0.35">
      <c r="C17" s="112" t="s">
        <v>109</v>
      </c>
      <c r="D17" s="102"/>
      <c r="E17" s="103" t="s">
        <v>111</v>
      </c>
      <c r="F17" s="97"/>
      <c r="G17" s="98"/>
      <c r="H17" s="105"/>
      <c r="I17" s="105">
        <f>'Hypothèses de CAPEX'!$D$8*'Compte de résultat'!H29/12</f>
        <v>7500</v>
      </c>
      <c r="J17" s="105">
        <f>'Hypothèses de CAPEX'!$D$8*'Compte de résultat'!I29/12</f>
        <v>10500</v>
      </c>
      <c r="K17" s="105">
        <f>'Hypothèses de CAPEX'!$D$8*'Compte de résultat'!J29/12</f>
        <v>15000</v>
      </c>
      <c r="L17" s="105">
        <f>'Hypothèses de CAPEX'!$D$8*'Compte de résultat'!K29/12</f>
        <v>15000</v>
      </c>
      <c r="M17" s="105">
        <f>'Hypothèses de CAPEX'!$D$8*'Compte de résultat'!L29/12</f>
        <v>15000</v>
      </c>
      <c r="N17" s="105">
        <f>'Hypothèses de CAPEX'!$D$8*'Compte de résultat'!M29/12</f>
        <v>15000</v>
      </c>
      <c r="O17" s="105">
        <f>'Hypothèses de CAPEX'!$D$8*'Compte de résultat'!N29/12</f>
        <v>15000</v>
      </c>
      <c r="P17" s="105">
        <f>'Hypothèses de CAPEX'!$D$8*'Compte de résultat'!O29/12</f>
        <v>15000</v>
      </c>
      <c r="Q17" s="105">
        <f>'Hypothèses de CAPEX'!$D$8*'Compte de résultat'!P29/12</f>
        <v>15000</v>
      </c>
      <c r="R17" s="105">
        <f>'Hypothèses de CAPEX'!$D$8*'Compte de résultat'!Q29/12</f>
        <v>15000</v>
      </c>
    </row>
    <row r="18" spans="3:18" ht="12" thickBot="1" x14ac:dyDescent="0.4">
      <c r="C18" s="112" t="s">
        <v>113</v>
      </c>
      <c r="D18" s="102"/>
      <c r="E18" s="103"/>
      <c r="F18" s="103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spans="3:18" ht="12" thickBot="1" x14ac:dyDescent="0.4">
      <c r="C19" s="446" t="s">
        <v>112</v>
      </c>
      <c r="D19" s="447"/>
      <c r="E19" s="447"/>
      <c r="F19" s="447"/>
      <c r="G19" s="447"/>
      <c r="H19" s="106">
        <f t="shared" ref="H19:R19" si="3">H6+H12+H16</f>
        <v>112486</v>
      </c>
      <c r="I19" s="106">
        <f t="shared" si="3"/>
        <v>147488.79999999999</v>
      </c>
      <c r="J19" s="106">
        <f t="shared" si="3"/>
        <v>681921.47200000007</v>
      </c>
      <c r="K19" s="106">
        <f t="shared" si="3"/>
        <v>1168717.4656</v>
      </c>
      <c r="L19" s="106">
        <f t="shared" si="3"/>
        <v>1698095.5804799998</v>
      </c>
      <c r="M19" s="106">
        <f t="shared" si="3"/>
        <v>2409820.2431839998</v>
      </c>
      <c r="N19" s="106">
        <f t="shared" si="3"/>
        <v>3072815.5678071999</v>
      </c>
      <c r="O19" s="106">
        <f t="shared" si="3"/>
        <v>3715520.1479559606</v>
      </c>
      <c r="P19" s="106">
        <f t="shared" si="3"/>
        <v>4314814.5888954224</v>
      </c>
      <c r="Q19" s="106">
        <f t="shared" si="3"/>
        <v>4816323.9180151671</v>
      </c>
      <c r="R19" s="106">
        <f t="shared" si="3"/>
        <v>5268192.139385581</v>
      </c>
    </row>
    <row r="20" spans="3:18" x14ac:dyDescent="0.35">
      <c r="C20" s="108"/>
      <c r="D20" s="109"/>
      <c r="E20" s="110"/>
      <c r="F20" s="110"/>
      <c r="G20" s="111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00"/>
    </row>
    <row r="21" spans="3:18" x14ac:dyDescent="0.35">
      <c r="C21" s="112" t="s">
        <v>114</v>
      </c>
      <c r="D21" s="96" t="s">
        <v>115</v>
      </c>
      <c r="E21" s="97"/>
      <c r="F21" s="97"/>
      <c r="G21" s="113"/>
      <c r="H21" s="96"/>
      <c r="I21" s="96">
        <f>(0.2/12)*('Compte de résultat'!H29+'Compte de résultat'!H31+'Compte de résultat'!H88+'Compte de résultat'!H99+'Compte de résultat'!H22+'Compte de résultat'!H23)</f>
        <v>590</v>
      </c>
      <c r="J21" s="96">
        <f>(0.2/12)*('Compte de résultat'!I29+'Compte de résultat'!I31+'Compte de résultat'!I88+'Compte de résultat'!I99+'Compte de résultat'!I22+'Compte de résultat'!I23)</f>
        <v>1043.1666666666667</v>
      </c>
      <c r="K21" s="96">
        <f>(0.2/12)*('Compte de résultat'!J29+'Compte de résultat'!J31+'Compte de résultat'!J88+'Compte de résultat'!J99+'Compte de résultat'!J22+'Compte de résultat'!J23)</f>
        <v>5421.2666666666664</v>
      </c>
      <c r="L21" s="96">
        <f>(0.2/12)*('Compte de résultat'!K29+'Compte de résultat'!K31+'Compte de résultat'!K88+'Compte de résultat'!K99+'Compte de résultat'!K22+'Compte de résultat'!K23)</f>
        <v>10378.011111111111</v>
      </c>
      <c r="M21" s="96">
        <f>(0.2/12)*('Compte de résultat'!L29+'Compte de résultat'!L31+'Compte de résultat'!L88+'Compte de résultat'!L99+'Compte de résultat'!L22+'Compte de résultat'!L23)</f>
        <v>29402.066666666666</v>
      </c>
      <c r="N21" s="96">
        <f>(0.2/12)*('Compte de résultat'!M29+'Compte de résultat'!M31+'Compte de résultat'!M88+'Compte de résultat'!M99+'Compte de résultat'!M22+'Compte de résultat'!M23)</f>
        <v>43713.811111111107</v>
      </c>
      <c r="O21" s="96">
        <f>(0.2/12)*('Compte de résultat'!N29+'Compte de résultat'!N31+'Compte de résultat'!N88+'Compte de résultat'!N99+'Compte de résultat'!N22+'Compte de résultat'!N23)</f>
        <v>60981.033333333333</v>
      </c>
      <c r="P21" s="96">
        <f>(0.2/12)*('Compte de résultat'!O29+'Compte de résultat'!O31+'Compte de résultat'!O88+'Compte de résultat'!O99+'Compte de résultat'!O22+'Compte de résultat'!O23)</f>
        <v>72273.455555555556</v>
      </c>
      <c r="Q21" s="96">
        <f>(0.2/12)*('Compte de résultat'!P29+'Compte de résultat'!P31+'Compte de résultat'!P88+'Compte de résultat'!P99+'Compte de résultat'!P22+'Compte de résultat'!P23)</f>
        <v>84819.233333333337</v>
      </c>
      <c r="R21" s="99">
        <f>(0.2/12)*('Compte de résultat'!Q29+'Compte de résultat'!Q31+'Compte de résultat'!Q88+'Compte de résultat'!Q99+'Compte de résultat'!Q22+'Compte de résultat'!Q23)</f>
        <v>98855.3</v>
      </c>
    </row>
    <row r="22" spans="3:18" x14ac:dyDescent="0.35">
      <c r="C22" s="112" t="s">
        <v>109</v>
      </c>
      <c r="D22" s="96"/>
      <c r="E22" s="103"/>
      <c r="F22" s="103"/>
      <c r="G22" s="104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9"/>
    </row>
    <row r="23" spans="3:18" x14ac:dyDescent="0.35">
      <c r="C23" s="112" t="s">
        <v>116</v>
      </c>
      <c r="D23" s="96" t="s">
        <v>153</v>
      </c>
      <c r="E23" s="103"/>
      <c r="F23" s="103"/>
      <c r="G23" s="104"/>
      <c r="H23" s="102"/>
      <c r="I23" s="102">
        <f>IF('Compte de résultat'!H123&lt;0,-'Compte de résultat'!H123,0)</f>
        <v>0</v>
      </c>
      <c r="J23" s="102">
        <f>IF('Compte de résultat'!I123&lt;0,-'Compte de résultat'!I123,0)</f>
        <v>0</v>
      </c>
      <c r="K23" s="102">
        <f>IF('Compte de résultat'!J123&lt;0,-'Compte de résultat'!J123,0)</f>
        <v>0</v>
      </c>
      <c r="L23" s="102">
        <f>IF('Compte de résultat'!K123&lt;0,-'Compte de résultat'!K123,0)</f>
        <v>0</v>
      </c>
      <c r="M23" s="102">
        <f>IF('Compte de résultat'!L123&lt;0,-'Compte de résultat'!L123,0)</f>
        <v>0</v>
      </c>
      <c r="N23" s="102">
        <f>IF('Compte de résultat'!M123&lt;0,-'Compte de résultat'!M123,0)</f>
        <v>0</v>
      </c>
      <c r="O23" s="102">
        <f>IF('Compte de résultat'!N123&lt;0,-'Compte de résultat'!N123,0)</f>
        <v>0</v>
      </c>
      <c r="P23" s="102">
        <f>IF('Compte de résultat'!O123&lt;0,-'Compte de résultat'!O123,0)</f>
        <v>0</v>
      </c>
      <c r="Q23" s="102">
        <f>IF('Compte de résultat'!P123&lt;0,-'Compte de résultat'!P123,0)</f>
        <v>0</v>
      </c>
      <c r="R23" s="105">
        <f>IF('Compte de résultat'!Q123&lt;0,-'Compte de résultat'!Q123,0)</f>
        <v>0</v>
      </c>
    </row>
    <row r="24" spans="3:18" x14ac:dyDescent="0.35">
      <c r="C24" s="112" t="s">
        <v>102</v>
      </c>
      <c r="D24" s="102"/>
      <c r="E24" s="103"/>
      <c r="F24" s="103"/>
      <c r="G24" s="104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5"/>
    </row>
    <row r="25" spans="3:18" x14ac:dyDescent="0.35">
      <c r="C25" s="112" t="s">
        <v>109</v>
      </c>
      <c r="D25" s="96" t="s">
        <v>154</v>
      </c>
      <c r="E25" s="103"/>
      <c r="F25" s="103"/>
      <c r="G25" s="104"/>
      <c r="H25" s="102"/>
      <c r="I25" s="102">
        <f>'Compte de résultat'!H124</f>
        <v>0</v>
      </c>
      <c r="J25" s="102">
        <f>'Compte de résultat'!I124</f>
        <v>0</v>
      </c>
      <c r="K25" s="102">
        <f>'Compte de résultat'!J124</f>
        <v>201127.96799999996</v>
      </c>
      <c r="L25" s="102">
        <f>'Compte de résultat'!K124</f>
        <v>271415.23200000002</v>
      </c>
      <c r="M25" s="102">
        <f>'Compte de résultat'!L124</f>
        <v>339450.65279999998</v>
      </c>
      <c r="N25" s="102">
        <f>'Compte de résultat'!M124</f>
        <v>375097.66200000001</v>
      </c>
      <c r="O25" s="102">
        <f>'Compte de résultat'!N124</f>
        <v>413724.75299999997</v>
      </c>
      <c r="P25" s="102">
        <f>'Compte de résultat'!O124</f>
        <v>444688.51769999997</v>
      </c>
      <c r="Q25" s="102">
        <f>'Compte de résultat'!P124</f>
        <v>452279.37600000005</v>
      </c>
      <c r="R25" s="105">
        <f>'Compte de résultat'!Q124</f>
        <v>467108.79930000001</v>
      </c>
    </row>
    <row r="26" spans="3:18" x14ac:dyDescent="0.35">
      <c r="C26" s="112"/>
      <c r="D26" s="96"/>
      <c r="E26" s="103"/>
      <c r="F26" s="103"/>
      <c r="G26" s="104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5"/>
    </row>
    <row r="27" spans="3:18" x14ac:dyDescent="0.35">
      <c r="C27" s="112" t="s">
        <v>108</v>
      </c>
      <c r="D27" s="96" t="s">
        <v>155</v>
      </c>
      <c r="E27" s="103"/>
      <c r="F27" s="103"/>
      <c r="G27" s="104"/>
      <c r="H27" s="96">
        <v>566.16999999999996</v>
      </c>
      <c r="I27" s="96"/>
      <c r="J27" s="96"/>
      <c r="K27" s="96"/>
      <c r="L27" s="96"/>
      <c r="M27" s="96"/>
      <c r="N27" s="96"/>
      <c r="O27" s="96"/>
      <c r="P27" s="96"/>
      <c r="Q27" s="96"/>
      <c r="R27" s="99"/>
    </row>
    <row r="28" spans="3:18" x14ac:dyDescent="0.35">
      <c r="C28" s="112" t="s">
        <v>109</v>
      </c>
      <c r="D28" s="102"/>
      <c r="E28" s="103"/>
      <c r="F28" s="103"/>
      <c r="G28" s="104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5"/>
    </row>
    <row r="29" spans="3:18" ht="12" thickBot="1" x14ac:dyDescent="0.4">
      <c r="C29" s="112" t="s">
        <v>113</v>
      </c>
      <c r="D29" s="96" t="s">
        <v>117</v>
      </c>
      <c r="E29" s="97"/>
      <c r="F29" s="97"/>
      <c r="G29" s="98"/>
      <c r="H29" s="96">
        <v>24805.9</v>
      </c>
      <c r="I29" s="96">
        <f>'Flux de trésorerie (p)'!E37</f>
        <v>1948146.5033333332</v>
      </c>
      <c r="J29" s="96">
        <f>'Flux de trésorerie (p)'!F37</f>
        <v>1317288.0911666667</v>
      </c>
      <c r="K29" s="96">
        <f>'Flux de trésorerie (p)'!G37</f>
        <v>614572.62963333342</v>
      </c>
      <c r="L29" s="96">
        <f>'Flux de trésorerie (p)'!H37</f>
        <v>1786251.0796266552</v>
      </c>
      <c r="M29" s="96">
        <f>'Flux de trésorerie (p)'!I37</f>
        <v>4967751.3881572764</v>
      </c>
      <c r="N29" s="96">
        <f>'Flux de trésorerie (p)'!J37</f>
        <v>11251352.252009049</v>
      </c>
      <c r="O29" s="96">
        <f>'Flux de trésorerie (p)'!K37</f>
        <v>19861623.450149886</v>
      </c>
      <c r="P29" s="96">
        <f>'Flux de trésorerie (p)'!L37</f>
        <v>30636973.515254714</v>
      </c>
      <c r="Q29" s="96">
        <f>'Flux de trésorerie (p)'!M37</f>
        <v>42359258.338454194</v>
      </c>
      <c r="R29" s="136">
        <f>'Flux de trésorerie (p)'!N37</f>
        <v>54277185.864615984</v>
      </c>
    </row>
    <row r="30" spans="3:18" ht="12" thickBot="1" x14ac:dyDescent="0.4">
      <c r="C30" s="448" t="s">
        <v>118</v>
      </c>
      <c r="D30" s="449"/>
      <c r="E30" s="449"/>
      <c r="F30" s="449"/>
      <c r="G30" s="450"/>
      <c r="H30" s="114">
        <f t="shared" ref="H30:M30" si="4">H21+H23+H25+H27+H29</f>
        <v>25372.07</v>
      </c>
      <c r="I30" s="114">
        <f t="shared" si="4"/>
        <v>1948736.5033333332</v>
      </c>
      <c r="J30" s="114">
        <f t="shared" si="4"/>
        <v>1318331.2578333335</v>
      </c>
      <c r="K30" s="114">
        <f t="shared" si="4"/>
        <v>821121.86430000002</v>
      </c>
      <c r="L30" s="114">
        <f t="shared" si="4"/>
        <v>2068044.3227377664</v>
      </c>
      <c r="M30" s="114">
        <f t="shared" si="4"/>
        <v>5336604.1076239431</v>
      </c>
      <c r="N30" s="114">
        <f>N21+N23+N25+N27+N29</f>
        <v>11670163.725120161</v>
      </c>
      <c r="O30" s="114">
        <f>O21+O23+O25+O27+O29</f>
        <v>20336329.23648322</v>
      </c>
      <c r="P30" s="114">
        <f>P21+P23+P25+P27+P29</f>
        <v>31153935.48851027</v>
      </c>
      <c r="Q30" s="114">
        <f>Q21+Q23+Q25+Q27+Q29</f>
        <v>42896356.947787531</v>
      </c>
      <c r="R30" s="114">
        <f>R21+R23+R25+R27+R29</f>
        <v>54843149.963915981</v>
      </c>
    </row>
    <row r="31" spans="3:18" ht="12" thickBot="1" x14ac:dyDescent="0.4">
      <c r="C31" s="451" t="s">
        <v>119</v>
      </c>
      <c r="D31" s="452"/>
      <c r="E31" s="452"/>
      <c r="F31" s="452"/>
      <c r="G31" s="453"/>
      <c r="H31" s="115">
        <f t="shared" ref="H31:M31" si="5">H19+H30</f>
        <v>137858.07</v>
      </c>
      <c r="I31" s="115">
        <f t="shared" si="5"/>
        <v>2096225.3033333332</v>
      </c>
      <c r="J31" s="115">
        <f t="shared" si="5"/>
        <v>2000252.7298333335</v>
      </c>
      <c r="K31" s="115">
        <f t="shared" si="5"/>
        <v>1989839.3299</v>
      </c>
      <c r="L31" s="115">
        <f t="shared" si="5"/>
        <v>3766139.9032177664</v>
      </c>
      <c r="M31" s="115">
        <f t="shared" si="5"/>
        <v>7746424.3508079425</v>
      </c>
      <c r="N31" s="115">
        <f>N19+N30</f>
        <v>14742979.29292736</v>
      </c>
      <c r="O31" s="115">
        <f>O19+O30</f>
        <v>24051849.384439182</v>
      </c>
      <c r="P31" s="115">
        <f>P19+P30</f>
        <v>35468750.077405691</v>
      </c>
      <c r="Q31" s="115">
        <f>Q19+Q30</f>
        <v>47712680.865802698</v>
      </c>
      <c r="R31" s="115">
        <f>R19+R30</f>
        <v>60111342.103301562</v>
      </c>
    </row>
    <row r="32" spans="3:18" x14ac:dyDescent="0.35">
      <c r="C32" s="116"/>
      <c r="D32" s="103"/>
      <c r="E32" s="103"/>
      <c r="F32" s="117"/>
      <c r="G32" s="117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</row>
    <row r="33" spans="3:18" ht="12" thickBot="1" x14ac:dyDescent="0.4">
      <c r="C33" s="118"/>
      <c r="D33" s="117"/>
      <c r="E33" s="119"/>
      <c r="F33" s="117"/>
      <c r="G33" s="117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3:18" ht="12" thickBot="1" x14ac:dyDescent="0.4">
      <c r="C34" s="116"/>
      <c r="D34" s="103"/>
      <c r="E34" s="103"/>
      <c r="F34" s="117"/>
      <c r="G34" s="120" t="s">
        <v>120</v>
      </c>
      <c r="H34" s="121">
        <f t="shared" ref="H34:R34" si="6">ROUNDDOWN(H31-H72,0)</f>
        <v>0</v>
      </c>
      <c r="I34" s="121">
        <f t="shared" si="6"/>
        <v>0</v>
      </c>
      <c r="J34" s="121">
        <f t="shared" si="6"/>
        <v>0</v>
      </c>
      <c r="K34" s="121">
        <f t="shared" si="6"/>
        <v>0</v>
      </c>
      <c r="L34" s="121">
        <f t="shared" si="6"/>
        <v>0</v>
      </c>
      <c r="M34" s="121">
        <f t="shared" si="6"/>
        <v>0</v>
      </c>
      <c r="N34" s="121">
        <f t="shared" si="6"/>
        <v>0</v>
      </c>
      <c r="O34" s="121">
        <f t="shared" si="6"/>
        <v>0</v>
      </c>
      <c r="P34" s="121">
        <f t="shared" si="6"/>
        <v>0</v>
      </c>
      <c r="Q34" s="121">
        <f t="shared" si="6"/>
        <v>0</v>
      </c>
      <c r="R34" s="121">
        <f t="shared" si="6"/>
        <v>0</v>
      </c>
    </row>
    <row r="35" spans="3:18" x14ac:dyDescent="0.35">
      <c r="C35" s="122"/>
      <c r="E35" s="122"/>
      <c r="F35" s="117"/>
      <c r="G35" s="117"/>
      <c r="H35" s="122"/>
      <c r="I35" s="119"/>
      <c r="J35" s="119"/>
      <c r="K35" s="119"/>
      <c r="L35" s="119"/>
      <c r="M35" s="119"/>
    </row>
    <row r="36" spans="3:18" x14ac:dyDescent="0.35">
      <c r="C36" s="116"/>
      <c r="D36" s="103"/>
      <c r="E36" s="103"/>
      <c r="F36" s="117"/>
      <c r="G36" s="117"/>
      <c r="H36" s="103"/>
      <c r="I36" s="103"/>
      <c r="J36" s="103"/>
      <c r="K36" s="103"/>
      <c r="L36" s="103"/>
      <c r="M36" s="103"/>
    </row>
    <row r="37" spans="3:18" ht="14.65" customHeight="1" thickBot="1" x14ac:dyDescent="0.4">
      <c r="C37" s="454" t="s">
        <v>121</v>
      </c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</row>
    <row r="38" spans="3:18" x14ac:dyDescent="0.35">
      <c r="C38" s="123"/>
      <c r="D38" s="124"/>
      <c r="E38" s="124"/>
      <c r="F38" s="125"/>
      <c r="G38" s="126"/>
      <c r="H38" s="127"/>
      <c r="I38" s="127"/>
      <c r="J38" s="128"/>
      <c r="K38" s="127"/>
      <c r="L38" s="128"/>
      <c r="M38" s="128"/>
    </row>
    <row r="39" spans="3:18" x14ac:dyDescent="0.35">
      <c r="C39" s="112"/>
      <c r="D39" s="97" t="s">
        <v>122</v>
      </c>
      <c r="E39" s="97"/>
      <c r="F39" s="129"/>
      <c r="G39" s="98"/>
      <c r="H39" s="96">
        <v>10400</v>
      </c>
      <c r="I39" s="96">
        <v>10400</v>
      </c>
      <c r="J39" s="96">
        <v>10400</v>
      </c>
      <c r="K39" s="96">
        <v>10400</v>
      </c>
      <c r="L39" s="96">
        <v>10400</v>
      </c>
      <c r="M39" s="99">
        <v>10400</v>
      </c>
      <c r="N39" s="99">
        <v>10400</v>
      </c>
      <c r="O39" s="99">
        <v>10400</v>
      </c>
      <c r="P39" s="99">
        <v>10400</v>
      </c>
      <c r="Q39" s="99">
        <v>10400</v>
      </c>
      <c r="R39" s="99">
        <v>10400</v>
      </c>
    </row>
    <row r="40" spans="3:18" x14ac:dyDescent="0.35">
      <c r="C40" s="112" t="s">
        <v>100</v>
      </c>
      <c r="D40" s="97" t="s">
        <v>124</v>
      </c>
      <c r="E40" s="103"/>
      <c r="F40" s="117"/>
      <c r="G40" s="104"/>
      <c r="H40" s="96">
        <v>137200</v>
      </c>
      <c r="I40" s="96">
        <v>137200</v>
      </c>
      <c r="J40" s="96">
        <v>137200</v>
      </c>
      <c r="K40" s="96">
        <v>137200</v>
      </c>
      <c r="L40" s="96">
        <v>137200</v>
      </c>
      <c r="M40" s="99">
        <v>137200</v>
      </c>
      <c r="N40" s="99">
        <v>137200</v>
      </c>
      <c r="O40" s="99">
        <v>137200</v>
      </c>
      <c r="P40" s="99">
        <v>137200</v>
      </c>
      <c r="Q40" s="99">
        <v>137200</v>
      </c>
      <c r="R40" s="99">
        <v>137200</v>
      </c>
    </row>
    <row r="41" spans="3:18" x14ac:dyDescent="0.35">
      <c r="C41" s="112" t="s">
        <v>123</v>
      </c>
      <c r="D41" s="97" t="s">
        <v>195</v>
      </c>
      <c r="E41" s="103"/>
      <c r="F41" s="117"/>
      <c r="G41" s="104"/>
      <c r="H41" s="96"/>
      <c r="I41" s="96">
        <f>'Hypothèses de financement'!$E$5</f>
        <v>2000000</v>
      </c>
      <c r="J41" s="96">
        <f>'Hypothèses de financement'!$E$5</f>
        <v>2000000</v>
      </c>
      <c r="K41" s="96">
        <f>'Hypothèses de financement'!$E$5</f>
        <v>2000000</v>
      </c>
      <c r="L41" s="96">
        <f>'Hypothèses de financement'!$E$5</f>
        <v>2000000</v>
      </c>
      <c r="M41" s="99">
        <f>'Hypothèses de financement'!$E$5</f>
        <v>2000000</v>
      </c>
      <c r="N41" s="99">
        <f>'Hypothèses de financement'!$E$5</f>
        <v>2000000</v>
      </c>
      <c r="O41" s="99">
        <f>'Hypothèses de financement'!$E$5</f>
        <v>2000000</v>
      </c>
      <c r="P41" s="99">
        <f>'Hypothèses de financement'!$E$5</f>
        <v>2000000</v>
      </c>
      <c r="Q41" s="99">
        <f>'Hypothèses de financement'!$E$5</f>
        <v>2000000</v>
      </c>
      <c r="R41" s="99">
        <f>'Hypothèses de financement'!$E$5</f>
        <v>2000000</v>
      </c>
    </row>
    <row r="42" spans="3:18" x14ac:dyDescent="0.35">
      <c r="C42" s="112" t="s">
        <v>116</v>
      </c>
      <c r="D42" s="97" t="s">
        <v>125</v>
      </c>
      <c r="E42" s="97"/>
      <c r="F42" s="117"/>
      <c r="G42" s="104"/>
      <c r="H42" s="96"/>
      <c r="I42" s="96"/>
      <c r="J42" s="99"/>
      <c r="K42" s="96"/>
      <c r="L42" s="99"/>
      <c r="M42" s="99"/>
      <c r="N42" s="99"/>
      <c r="O42" s="99"/>
      <c r="P42" s="99"/>
      <c r="Q42" s="99"/>
      <c r="R42" s="99"/>
    </row>
    <row r="43" spans="3:18" x14ac:dyDescent="0.35">
      <c r="C43" s="112" t="s">
        <v>126</v>
      </c>
      <c r="D43" s="103"/>
      <c r="E43" s="103" t="s">
        <v>127</v>
      </c>
      <c r="F43" s="117"/>
      <c r="G43" s="104"/>
      <c r="H43" s="102"/>
      <c r="I43" s="102"/>
      <c r="J43" s="105"/>
      <c r="K43" s="102"/>
      <c r="L43" s="105"/>
      <c r="M43" s="105"/>
      <c r="N43" s="105"/>
      <c r="O43" s="105"/>
      <c r="P43" s="105"/>
      <c r="Q43" s="105"/>
      <c r="R43" s="105"/>
    </row>
    <row r="44" spans="3:18" x14ac:dyDescent="0.35">
      <c r="C44" s="112" t="s">
        <v>107</v>
      </c>
      <c r="D44" s="103"/>
      <c r="E44" s="103" t="s">
        <v>128</v>
      </c>
      <c r="F44" s="117"/>
      <c r="G44" s="104"/>
      <c r="H44" s="102"/>
      <c r="I44" s="102"/>
      <c r="J44" s="105"/>
      <c r="K44" s="102"/>
      <c r="L44" s="105"/>
      <c r="M44" s="105"/>
      <c r="N44" s="105"/>
      <c r="O44" s="105"/>
      <c r="P44" s="105"/>
      <c r="Q44" s="105"/>
      <c r="R44" s="105"/>
    </row>
    <row r="45" spans="3:18" x14ac:dyDescent="0.35">
      <c r="C45" s="112" t="s">
        <v>116</v>
      </c>
      <c r="D45" s="103"/>
      <c r="E45" s="103" t="s">
        <v>129</v>
      </c>
      <c r="F45" s="117"/>
      <c r="G45" s="104"/>
      <c r="H45" s="102"/>
      <c r="I45" s="102"/>
      <c r="J45" s="105"/>
      <c r="K45" s="102"/>
      <c r="L45" s="105"/>
      <c r="M45" s="105"/>
      <c r="N45" s="105"/>
      <c r="O45" s="105"/>
      <c r="P45" s="105"/>
      <c r="Q45" s="105"/>
      <c r="R45" s="105"/>
    </row>
    <row r="46" spans="3:18" x14ac:dyDescent="0.35">
      <c r="C46" s="112" t="s">
        <v>130</v>
      </c>
      <c r="D46" s="103"/>
      <c r="E46" s="103" t="s">
        <v>131</v>
      </c>
      <c r="F46" s="117"/>
      <c r="G46" s="104"/>
      <c r="H46" s="102"/>
      <c r="I46" s="102"/>
      <c r="J46" s="130"/>
      <c r="K46" s="220"/>
      <c r="L46" s="130"/>
      <c r="M46" s="130"/>
      <c r="N46" s="130"/>
      <c r="O46" s="130"/>
      <c r="P46" s="130"/>
      <c r="Q46" s="130"/>
      <c r="R46" s="130"/>
    </row>
    <row r="47" spans="3:18" x14ac:dyDescent="0.35">
      <c r="C47" s="131"/>
      <c r="D47" s="97" t="s">
        <v>132</v>
      </c>
      <c r="E47" s="97"/>
      <c r="F47" s="129"/>
      <c r="G47" s="98"/>
      <c r="H47" s="96">
        <v>-10009.24</v>
      </c>
      <c r="I47" s="96">
        <f t="shared" ref="I47:R47" si="7">H47+H48</f>
        <v>-9811.24</v>
      </c>
      <c r="J47" s="99">
        <f t="shared" si="7"/>
        <v>-51375.106666666667</v>
      </c>
      <c r="K47" s="99">
        <f t="shared" si="7"/>
        <v>-453037.8918333333</v>
      </c>
      <c r="L47" s="99">
        <f t="shared" si="7"/>
        <v>-534667.77343333338</v>
      </c>
      <c r="M47" s="99">
        <f t="shared" si="7"/>
        <v>940339.24749759992</v>
      </c>
      <c r="N47" s="99">
        <f t="shared" si="7"/>
        <v>4009457.1040172772</v>
      </c>
      <c r="O47" s="99">
        <f t="shared" si="7"/>
        <v>9858405.4367477931</v>
      </c>
      <c r="P47" s="99">
        <f t="shared" si="7"/>
        <v>18164905.837752443</v>
      </c>
      <c r="Q47" s="99">
        <f t="shared" si="7"/>
        <v>28683556.944058783</v>
      </c>
      <c r="R47" s="99">
        <f t="shared" si="7"/>
        <v>40410868.497794397</v>
      </c>
    </row>
    <row r="48" spans="3:18" x14ac:dyDescent="0.35">
      <c r="C48" s="112" t="s">
        <v>133</v>
      </c>
      <c r="D48" s="97" t="s">
        <v>134</v>
      </c>
      <c r="E48" s="97"/>
      <c r="F48" s="129"/>
      <c r="G48" s="98"/>
      <c r="H48" s="96">
        <v>198</v>
      </c>
      <c r="I48" s="96">
        <f>'Compte de résultat'!H126</f>
        <v>-41563.866666666669</v>
      </c>
      <c r="J48" s="99">
        <f>'Compte de résultat'!I126</f>
        <v>-401662.78516666661</v>
      </c>
      <c r="K48" s="96">
        <f>'Compte de résultat'!J126</f>
        <v>-81629.88160000011</v>
      </c>
      <c r="L48" s="99">
        <f>'Compte de résultat'!K126</f>
        <v>1475007.0209309333</v>
      </c>
      <c r="M48" s="99">
        <f>'Compte de résultat'!L126</f>
        <v>3069117.8565196772</v>
      </c>
      <c r="N48" s="99">
        <f>'Compte de résultat'!M126</f>
        <v>5848948.3327305149</v>
      </c>
      <c r="O48" s="99">
        <f>'Compte de résultat'!N126</f>
        <v>8306500.4010046488</v>
      </c>
      <c r="P48" s="99">
        <f>'Compte de résultat'!O126</f>
        <v>10518651.106306339</v>
      </c>
      <c r="Q48" s="99">
        <f>'Compte de résultat'!P126</f>
        <v>11727311.553735616</v>
      </c>
      <c r="R48" s="99">
        <f>'Compte de résultat'!Q126</f>
        <v>12188848.880569156</v>
      </c>
    </row>
    <row r="49" spans="3:18" ht="12" thickBot="1" x14ac:dyDescent="0.4">
      <c r="C49" s="112" t="s">
        <v>114</v>
      </c>
      <c r="D49" s="132" t="s">
        <v>135</v>
      </c>
      <c r="E49" s="132"/>
      <c r="F49" s="133"/>
      <c r="G49" s="134"/>
      <c r="H49" s="135"/>
      <c r="I49" s="135"/>
      <c r="J49" s="136"/>
      <c r="K49" s="135"/>
      <c r="L49" s="136"/>
      <c r="M49" s="136"/>
      <c r="N49" s="136"/>
      <c r="O49" s="136"/>
      <c r="P49" s="136"/>
      <c r="Q49" s="136"/>
      <c r="R49" s="136"/>
    </row>
    <row r="50" spans="3:18" ht="12" thickBot="1" x14ac:dyDescent="0.4">
      <c r="C50" s="112" t="s">
        <v>113</v>
      </c>
      <c r="D50" s="150"/>
      <c r="E50" s="151" t="s">
        <v>136</v>
      </c>
      <c r="F50" s="152"/>
      <c r="G50" s="153"/>
      <c r="H50" s="154">
        <f t="shared" ref="H50:R50" si="8">H39+H40+H42+H47+H48+H49+H41</f>
        <v>137788.76</v>
      </c>
      <c r="I50" s="154">
        <f t="shared" si="8"/>
        <v>2096224.8933333333</v>
      </c>
      <c r="J50" s="154">
        <f t="shared" si="8"/>
        <v>1694562.1081666667</v>
      </c>
      <c r="K50" s="154">
        <f t="shared" si="8"/>
        <v>1612932.2265666667</v>
      </c>
      <c r="L50" s="154">
        <f t="shared" si="8"/>
        <v>3087939.2474976</v>
      </c>
      <c r="M50" s="155">
        <f t="shared" si="8"/>
        <v>6157057.1040172772</v>
      </c>
      <c r="N50" s="155">
        <f t="shared" si="8"/>
        <v>12006005.436747793</v>
      </c>
      <c r="O50" s="155">
        <f t="shared" si="8"/>
        <v>20312505.837752443</v>
      </c>
      <c r="P50" s="155">
        <f t="shared" si="8"/>
        <v>30831156.944058783</v>
      </c>
      <c r="Q50" s="155">
        <f t="shared" si="8"/>
        <v>42558468.497794397</v>
      </c>
      <c r="R50" s="155">
        <f t="shared" si="8"/>
        <v>54747317.37836355</v>
      </c>
    </row>
    <row r="51" spans="3:18" x14ac:dyDescent="0.35">
      <c r="C51" s="112" t="s">
        <v>108</v>
      </c>
      <c r="D51" s="103" t="s">
        <v>137</v>
      </c>
      <c r="E51" s="103"/>
      <c r="F51" s="117"/>
      <c r="G51" s="141"/>
      <c r="H51" s="102"/>
      <c r="I51" s="128"/>
      <c r="J51" s="103"/>
      <c r="K51" s="128"/>
      <c r="L51" s="103"/>
      <c r="M51" s="128"/>
      <c r="N51" s="128"/>
      <c r="O51" s="128"/>
      <c r="P51" s="128"/>
      <c r="Q51" s="128"/>
      <c r="R51" s="128"/>
    </row>
    <row r="52" spans="3:18" ht="12" thickBot="1" x14ac:dyDescent="0.4">
      <c r="C52" s="112" t="s">
        <v>102</v>
      </c>
      <c r="D52" s="103" t="s">
        <v>131</v>
      </c>
      <c r="E52" s="103"/>
      <c r="F52" s="117"/>
      <c r="G52" s="141"/>
      <c r="H52" s="102"/>
      <c r="I52" s="142"/>
      <c r="J52" s="103"/>
      <c r="K52" s="142"/>
      <c r="L52" s="103"/>
      <c r="M52" s="142"/>
      <c r="N52" s="142"/>
      <c r="O52" s="142"/>
      <c r="P52" s="142"/>
      <c r="Q52" s="142"/>
      <c r="R52" s="142"/>
    </row>
    <row r="53" spans="3:18" ht="12" thickBot="1" x14ac:dyDescent="0.4">
      <c r="C53" s="112" t="s">
        <v>126</v>
      </c>
      <c r="D53" s="137"/>
      <c r="E53" s="138" t="s">
        <v>138</v>
      </c>
      <c r="F53" s="139"/>
      <c r="G53" s="140"/>
      <c r="H53" s="139"/>
      <c r="I53" s="143"/>
      <c r="J53" s="143"/>
      <c r="K53" s="143"/>
      <c r="L53" s="143"/>
      <c r="M53" s="144"/>
      <c r="N53" s="144"/>
      <c r="O53" s="144"/>
      <c r="P53" s="144"/>
      <c r="Q53" s="144"/>
      <c r="R53" s="144"/>
    </row>
    <row r="54" spans="3:18" x14ac:dyDescent="0.35">
      <c r="C54" s="112" t="s">
        <v>113</v>
      </c>
      <c r="D54" s="127" t="s">
        <v>139</v>
      </c>
      <c r="E54" s="124"/>
      <c r="F54" s="125"/>
      <c r="G54" s="145"/>
      <c r="H54" s="127"/>
      <c r="I54" s="127"/>
      <c r="J54" s="127"/>
      <c r="K54" s="127"/>
      <c r="L54" s="127"/>
      <c r="M54" s="128"/>
      <c r="N54" s="128"/>
      <c r="O54" s="128"/>
      <c r="P54" s="128"/>
      <c r="Q54" s="128"/>
      <c r="R54" s="128"/>
    </row>
    <row r="55" spans="3:18" ht="12" thickBot="1" x14ac:dyDescent="0.4">
      <c r="C55" s="112" t="s">
        <v>140</v>
      </c>
      <c r="D55" s="146"/>
      <c r="E55" s="147"/>
      <c r="F55" s="148"/>
      <c r="G55" s="149"/>
      <c r="H55" s="146"/>
      <c r="I55" s="142"/>
      <c r="J55" s="147"/>
      <c r="K55" s="142"/>
      <c r="L55" s="147"/>
      <c r="M55" s="142"/>
      <c r="N55" s="142"/>
      <c r="O55" s="142"/>
      <c r="P55" s="142"/>
      <c r="Q55" s="142"/>
      <c r="R55" s="142"/>
    </row>
    <row r="56" spans="3:18" ht="12" thickBot="1" x14ac:dyDescent="0.4">
      <c r="C56" s="101"/>
      <c r="D56" s="150"/>
      <c r="E56" s="151" t="s">
        <v>141</v>
      </c>
      <c r="F56" s="152"/>
      <c r="G56" s="153"/>
      <c r="H56" s="154"/>
      <c r="I56" s="154"/>
      <c r="J56" s="154"/>
      <c r="K56" s="154"/>
      <c r="L56" s="154"/>
      <c r="M56" s="155"/>
      <c r="N56" s="155"/>
      <c r="O56" s="155"/>
      <c r="P56" s="155"/>
      <c r="Q56" s="155"/>
      <c r="R56" s="155"/>
    </row>
    <row r="57" spans="3:18" ht="12" thickBot="1" x14ac:dyDescent="0.4">
      <c r="C57" s="435" t="s">
        <v>142</v>
      </c>
      <c r="D57" s="436"/>
      <c r="E57" s="436"/>
      <c r="F57" s="436"/>
      <c r="G57" s="437"/>
      <c r="H57" s="156">
        <f t="shared" ref="H57:R57" si="9">H50+H53+H56</f>
        <v>137788.76</v>
      </c>
      <c r="I57" s="157">
        <f t="shared" si="9"/>
        <v>2096224.8933333333</v>
      </c>
      <c r="J57" s="157">
        <f t="shared" si="9"/>
        <v>1694562.1081666667</v>
      </c>
      <c r="K57" s="157">
        <f t="shared" si="9"/>
        <v>1612932.2265666667</v>
      </c>
      <c r="L57" s="157">
        <f t="shared" si="9"/>
        <v>3087939.2474976</v>
      </c>
      <c r="M57" s="107">
        <f t="shared" si="9"/>
        <v>6157057.1040172772</v>
      </c>
      <c r="N57" s="107">
        <f t="shared" si="9"/>
        <v>12006005.436747793</v>
      </c>
      <c r="O57" s="107">
        <f t="shared" si="9"/>
        <v>20312505.837752443</v>
      </c>
      <c r="P57" s="107">
        <f t="shared" si="9"/>
        <v>30831156.944058783</v>
      </c>
      <c r="Q57" s="107">
        <f t="shared" si="9"/>
        <v>42558468.497794397</v>
      </c>
      <c r="R57" s="107">
        <f t="shared" si="9"/>
        <v>54747317.37836355</v>
      </c>
    </row>
    <row r="58" spans="3:18" x14ac:dyDescent="0.35">
      <c r="C58" s="158"/>
      <c r="D58" s="127"/>
      <c r="E58" s="124"/>
      <c r="F58" s="125"/>
      <c r="G58" s="126"/>
      <c r="H58" s="128"/>
      <c r="I58" s="124"/>
      <c r="J58" s="128"/>
      <c r="K58" s="128"/>
      <c r="L58" s="124"/>
      <c r="M58" s="128"/>
      <c r="N58" s="128"/>
      <c r="O58" s="128"/>
      <c r="P58" s="128"/>
      <c r="Q58" s="128"/>
      <c r="R58" s="128"/>
    </row>
    <row r="59" spans="3:18" ht="12" customHeight="1" x14ac:dyDescent="0.35">
      <c r="C59" s="131"/>
      <c r="D59" s="96"/>
      <c r="E59" s="103"/>
      <c r="F59" s="117"/>
      <c r="G59" s="104"/>
      <c r="H59" s="159"/>
      <c r="I59" s="160"/>
      <c r="J59" s="159"/>
      <c r="K59" s="159"/>
      <c r="L59" s="160"/>
      <c r="M59" s="159"/>
      <c r="N59" s="159"/>
      <c r="O59" s="159"/>
      <c r="P59" s="159"/>
      <c r="Q59" s="159"/>
      <c r="R59" s="159"/>
    </row>
    <row r="60" spans="3:18" ht="12" customHeight="1" x14ac:dyDescent="0.35">
      <c r="C60" s="131"/>
      <c r="D60" s="96"/>
      <c r="E60" s="103"/>
      <c r="F60" s="117"/>
      <c r="G60" s="104"/>
      <c r="H60" s="159"/>
      <c r="I60" s="160"/>
      <c r="J60" s="159"/>
      <c r="K60" s="159"/>
      <c r="L60" s="160"/>
      <c r="M60" s="159"/>
      <c r="N60" s="159"/>
      <c r="O60" s="159"/>
      <c r="P60" s="159"/>
      <c r="Q60" s="159"/>
      <c r="R60" s="159"/>
    </row>
    <row r="61" spans="3:18" ht="12" customHeight="1" x14ac:dyDescent="0.35">
      <c r="C61" s="131"/>
      <c r="D61" s="96" t="s">
        <v>259</v>
      </c>
      <c r="E61" s="103"/>
      <c r="F61" s="117"/>
      <c r="G61" s="104"/>
      <c r="H61" s="159"/>
      <c r="I61" s="160"/>
      <c r="J61" s="159">
        <f>'Amortissement dettes'!L8</f>
        <v>250000</v>
      </c>
      <c r="K61" s="160">
        <f>'Amortissement dettes'!L8</f>
        <v>250000</v>
      </c>
      <c r="L61" s="159">
        <f>'Amortissement dettes'!N22</f>
        <v>200099.94580443288</v>
      </c>
      <c r="M61" s="159">
        <f>'Amortissement dettes'!N34</f>
        <v>150149.96867745777</v>
      </c>
      <c r="N61" s="159">
        <f>'Amortissement dettes'!N46</f>
        <v>100150.01867325562</v>
      </c>
      <c r="O61" s="159">
        <f>'Amortissement dettes'!N58</f>
        <v>50100.045796038576</v>
      </c>
      <c r="P61" s="159">
        <f>'Amortissement dettes'!N70</f>
        <v>1.064108801074326E-10</v>
      </c>
      <c r="R61" s="159">
        <v>0</v>
      </c>
    </row>
    <row r="62" spans="3:18" ht="12" customHeight="1" x14ac:dyDescent="0.35">
      <c r="C62" s="131"/>
      <c r="D62" s="96"/>
      <c r="E62" s="103"/>
      <c r="F62" s="117"/>
      <c r="G62" s="104"/>
      <c r="H62" s="159"/>
      <c r="I62" s="160"/>
      <c r="J62" s="159"/>
      <c r="K62" s="159"/>
      <c r="L62" s="160"/>
      <c r="M62" s="159"/>
      <c r="N62" s="159"/>
      <c r="O62" s="159"/>
      <c r="P62" s="159"/>
      <c r="Q62" s="159"/>
      <c r="R62" s="159"/>
    </row>
    <row r="63" spans="3:18" ht="11.25" customHeight="1" x14ac:dyDescent="0.35">
      <c r="C63" s="112" t="s">
        <v>100</v>
      </c>
      <c r="D63" s="96" t="s">
        <v>222</v>
      </c>
      <c r="E63" s="103"/>
      <c r="F63" s="117"/>
      <c r="G63" s="104"/>
      <c r="H63" s="99">
        <v>68.900000000000006</v>
      </c>
      <c r="I63" s="97">
        <f>('Compte de résultat'!H70+'Compte de résultat'!H74)/12+('Compte de résultat'!H72+'Compte de résultat'!H76)*2/12</f>
        <v>0</v>
      </c>
      <c r="J63" s="99">
        <f>('Compte de résultat'!I70+'Compte de résultat'!I74)/12+('Compte de résultat'!I72+'Compte de résultat'!I76)*2/12</f>
        <v>55690.21166666667</v>
      </c>
      <c r="K63" s="99">
        <f>('Compte de résultat'!J70+'Compte de résultat'!J74)/12+('Compte de résultat'!J72+'Compte de résultat'!J76)*2/12</f>
        <v>111606.69333333333</v>
      </c>
      <c r="L63" s="97">
        <f>('Compte de résultat'!K70+'Compte de résultat'!K74)/12+('Compte de résultat'!K72+'Compte de résultat'!K76)*2/12</f>
        <v>164307.14500000002</v>
      </c>
      <c r="M63" s="99">
        <f>('Compte de résultat'!L70+'Compte de résultat'!L74)/12+('Compte de résultat'!L72+'Compte de résultat'!L76)*2/12</f>
        <v>259442.40000000002</v>
      </c>
      <c r="N63" s="99">
        <f>('Compte de résultat'!M70+'Compte de résultat'!M74)/12+('Compte de résultat'!M72+'Compte de résultat'!M76)*2/12</f>
        <v>304186.5</v>
      </c>
      <c r="O63" s="99">
        <f>('Compte de résultat'!N70+'Compte de résultat'!N74)/12+('Compte de résultat'!N72+'Compte de résultat'!N76)*2/12</f>
        <v>336942.45</v>
      </c>
      <c r="P63" s="99">
        <f>('Compte de résultat'!O70+'Compte de résultat'!O74)/12+('Compte de résultat'!O72+'Compte de résultat'!O76)*2/12</f>
        <v>369370.05000000005</v>
      </c>
      <c r="Q63" s="99">
        <f>('Compte de résultat'!P70+'Compte de résultat'!P74)/12+('Compte de résultat'!P72+'Compte de résultat'!P76)*2/12</f>
        <v>375840</v>
      </c>
      <c r="R63" s="99">
        <f>('Compte de résultat'!Q70+'Compte de résultat'!Q74)/12+('Compte de résultat'!Q72+'Compte de résultat'!Q76)*2/12</f>
        <v>385015.94999999995</v>
      </c>
    </row>
    <row r="64" spans="3:18" x14ac:dyDescent="0.35">
      <c r="C64" s="112" t="s">
        <v>123</v>
      </c>
      <c r="D64" s="96"/>
      <c r="E64" s="103"/>
      <c r="F64" s="117"/>
      <c r="G64" s="104"/>
      <c r="H64" s="105"/>
      <c r="I64" s="97"/>
      <c r="J64" s="99"/>
      <c r="K64" s="99"/>
      <c r="L64" s="97"/>
      <c r="M64" s="99"/>
      <c r="N64" s="99"/>
      <c r="O64" s="99"/>
      <c r="P64" s="99"/>
      <c r="Q64" s="99"/>
      <c r="R64" s="99"/>
    </row>
    <row r="65" spans="3:18" x14ac:dyDescent="0.35">
      <c r="C65" s="112" t="s">
        <v>108</v>
      </c>
      <c r="D65" s="96" t="s">
        <v>143</v>
      </c>
      <c r="E65" s="103"/>
      <c r="F65" s="117"/>
      <c r="G65" s="104"/>
      <c r="H65" s="99"/>
      <c r="I65" s="99">
        <f>(0.2/12)*('Compte de résultat'!H12-'Compte de résultat'!H20)</f>
        <v>0</v>
      </c>
      <c r="J65" s="99">
        <f>(0.2/12)*('Compte de résultat'!I12-'Compte de résultat'!I20)</f>
        <v>0</v>
      </c>
      <c r="K65" s="99">
        <f>(0.2/12)*('Compte de résultat'!J12-'Compte de résultat'!J20)</f>
        <v>15300</v>
      </c>
      <c r="L65" s="99">
        <f>(0.2/12)*('Compte de résultat'!K12-'Compte de résultat'!K20)</f>
        <v>56723.333333333336</v>
      </c>
      <c r="M65" s="99">
        <f>(0.2/12)*('Compte de résultat'!L12-'Compte de résultat'!L20)</f>
        <v>125120</v>
      </c>
      <c r="N65" s="99">
        <f>(0.2/12)*('Compte de résultat'!M12-'Compte de résultat'!M20)</f>
        <v>210800</v>
      </c>
      <c r="O65" s="99">
        <f>(0.2/12)*('Compte de résultat'!N12-'Compte de résultat'!N20)</f>
        <v>289770.66666666669</v>
      </c>
      <c r="P65" s="99">
        <f>(0.2/12)*('Compte de résultat'!O12-'Compte de résultat'!O20)</f>
        <v>357453.33333333331</v>
      </c>
      <c r="Q65" s="99">
        <f>(0.2/12)*('Compte de résultat'!P12-'Compte de résultat'!P20)</f>
        <v>400520</v>
      </c>
      <c r="R65" s="99">
        <f>(0.2/12)*('Compte de résultat'!Q12-'Compte de résultat'!Q20)</f>
        <v>427436.66666666669</v>
      </c>
    </row>
    <row r="66" spans="3:18" x14ac:dyDescent="0.35">
      <c r="C66" s="112" t="s">
        <v>108</v>
      </c>
      <c r="D66" s="102"/>
      <c r="E66" s="103"/>
      <c r="F66" s="117"/>
      <c r="G66" s="104"/>
      <c r="H66" s="105"/>
      <c r="I66" s="103"/>
      <c r="J66" s="105"/>
      <c r="K66" s="105"/>
      <c r="L66" s="103"/>
      <c r="M66" s="105"/>
      <c r="N66" s="105"/>
      <c r="O66" s="105"/>
      <c r="P66" s="105"/>
      <c r="Q66" s="105"/>
      <c r="R66" s="105"/>
    </row>
    <row r="67" spans="3:18" x14ac:dyDescent="0.35">
      <c r="C67" s="112" t="s">
        <v>123</v>
      </c>
      <c r="D67" s="96" t="s">
        <v>144</v>
      </c>
      <c r="E67" s="161"/>
      <c r="F67" s="117"/>
      <c r="G67" s="104"/>
      <c r="H67" s="105"/>
      <c r="I67" s="97">
        <f>IF('Compte de résultat'!H123&gt;0,'Compte de résultat'!H123,0)</f>
        <v>0</v>
      </c>
      <c r="J67" s="99">
        <f>IF('Compte de résultat'!I123&gt;0,'Compte de résultat'!I123,0)</f>
        <v>0</v>
      </c>
      <c r="K67" s="99">
        <f>IF('Compte de résultat'!J123&gt;0,'Compte de résultat'!J123,0)</f>
        <v>0</v>
      </c>
      <c r="L67" s="97">
        <f>IF('Compte de résultat'!K123&gt;0,'Compte de résultat'!K123,0)</f>
        <v>257069.82158239998</v>
      </c>
      <c r="M67" s="99">
        <f>IF('Compte de résultat'!L123&gt;0,'Compte de résultat'!L123,0)</f>
        <v>1054654.468113208</v>
      </c>
      <c r="N67" s="99">
        <f>IF('Compte de résultat'!M123&gt;0,'Compte de résultat'!M123,0)</f>
        <v>2121836.9275063118</v>
      </c>
      <c r="O67" s="99">
        <f>IF('Compte de résultat'!N123&gt;0,'Compte de résultat'!N123,0)</f>
        <v>3062529.974224031</v>
      </c>
      <c r="P67" s="99">
        <f>IF('Compte de résultat'!O123&gt;0,'Compte de résultat'!O123,0)</f>
        <v>3910769.3400135767</v>
      </c>
      <c r="Q67" s="99">
        <f>IF('Compte de résultat'!P123&gt;0,'Compte de résultat'!P123,0)</f>
        <v>4377851.9580082959</v>
      </c>
      <c r="R67" s="99">
        <f>IF('Compte de résultat'!Q123&gt;0,'Compte de résultat'!Q123,0)</f>
        <v>4551571.6982713398</v>
      </c>
    </row>
    <row r="68" spans="3:18" x14ac:dyDescent="0.35">
      <c r="C68" s="112" t="s">
        <v>145</v>
      </c>
      <c r="D68" s="102"/>
      <c r="E68" s="103"/>
      <c r="F68" s="117"/>
      <c r="G68" s="104"/>
      <c r="H68" s="105"/>
      <c r="I68" s="103"/>
      <c r="J68" s="105"/>
      <c r="K68" s="105"/>
      <c r="L68" s="103"/>
      <c r="M68" s="105"/>
      <c r="N68" s="105"/>
      <c r="O68" s="105"/>
      <c r="P68" s="105"/>
      <c r="Q68" s="105"/>
      <c r="R68" s="105"/>
    </row>
    <row r="69" spans="3:18" ht="12" thickBot="1" x14ac:dyDescent="0.4">
      <c r="C69" s="112"/>
      <c r="D69" s="96" t="s">
        <v>146</v>
      </c>
      <c r="E69" s="103"/>
      <c r="F69" s="117"/>
      <c r="G69" s="104"/>
      <c r="H69" s="142"/>
      <c r="I69" s="103"/>
      <c r="J69" s="142"/>
      <c r="K69" s="105"/>
      <c r="L69" s="103"/>
      <c r="M69" s="105"/>
      <c r="N69" s="105"/>
      <c r="O69" s="105"/>
      <c r="P69" s="105"/>
      <c r="Q69" s="105"/>
      <c r="R69" s="105"/>
    </row>
    <row r="70" spans="3:18" ht="12" thickBot="1" x14ac:dyDescent="0.4">
      <c r="C70" s="435" t="s">
        <v>147</v>
      </c>
      <c r="D70" s="436"/>
      <c r="E70" s="436"/>
      <c r="F70" s="436"/>
      <c r="G70" s="437"/>
      <c r="H70" s="156">
        <f>H63+H59+H65+H67+H69+H61</f>
        <v>68.900000000000006</v>
      </c>
      <c r="I70" s="157">
        <f>I63+I59+I65+I67+I69+I61</f>
        <v>0</v>
      </c>
      <c r="J70" s="157">
        <f t="shared" ref="J70:R70" si="10">J63+J59+J65+J67+J69+J61</f>
        <v>305690.21166666667</v>
      </c>
      <c r="K70" s="157">
        <f t="shared" si="10"/>
        <v>376906.69333333336</v>
      </c>
      <c r="L70" s="157">
        <f t="shared" si="10"/>
        <v>678200.24572016625</v>
      </c>
      <c r="M70" s="157">
        <f t="shared" si="10"/>
        <v>1589366.836790666</v>
      </c>
      <c r="N70" s="157">
        <f t="shared" si="10"/>
        <v>2736973.4461795674</v>
      </c>
      <c r="O70" s="157">
        <f t="shared" si="10"/>
        <v>3739343.1366867363</v>
      </c>
      <c r="P70" s="157">
        <f t="shared" si="10"/>
        <v>4637592.7233469095</v>
      </c>
      <c r="Q70" s="157">
        <f t="shared" si="10"/>
        <v>5154211.9580082959</v>
      </c>
      <c r="R70" s="157">
        <f t="shared" si="10"/>
        <v>5364024.3149380069</v>
      </c>
    </row>
    <row r="71" spans="3:18" ht="12" thickBot="1" x14ac:dyDescent="0.4">
      <c r="C71" s="162"/>
      <c r="D71" s="102" t="s">
        <v>148</v>
      </c>
      <c r="E71" s="103"/>
      <c r="F71" s="117"/>
      <c r="G71" s="104"/>
      <c r="H71" s="102"/>
      <c r="I71" s="105"/>
      <c r="J71" s="103"/>
      <c r="K71" s="105"/>
      <c r="L71" s="103"/>
      <c r="M71" s="105"/>
      <c r="N71" s="105"/>
      <c r="O71" s="105"/>
      <c r="P71" s="105"/>
      <c r="Q71" s="105"/>
      <c r="R71" s="105"/>
    </row>
    <row r="72" spans="3:18" ht="12" thickBot="1" x14ac:dyDescent="0.4">
      <c r="C72" s="438" t="s">
        <v>149</v>
      </c>
      <c r="D72" s="439"/>
      <c r="E72" s="439"/>
      <c r="F72" s="439"/>
      <c r="G72" s="440"/>
      <c r="H72" s="163">
        <f t="shared" ref="H72:R72" si="11">H57+H70+H71</f>
        <v>137857.66</v>
      </c>
      <c r="I72" s="164">
        <f t="shared" si="11"/>
        <v>2096224.8933333333</v>
      </c>
      <c r="J72" s="164">
        <f t="shared" si="11"/>
        <v>2000252.3198333334</v>
      </c>
      <c r="K72" s="164">
        <f t="shared" si="11"/>
        <v>1989838.9199000001</v>
      </c>
      <c r="L72" s="164">
        <f t="shared" si="11"/>
        <v>3766139.4932177663</v>
      </c>
      <c r="M72" s="165">
        <f t="shared" si="11"/>
        <v>7746423.9408079432</v>
      </c>
      <c r="N72" s="165">
        <f t="shared" si="11"/>
        <v>14742978.88292736</v>
      </c>
      <c r="O72" s="165">
        <f t="shared" si="11"/>
        <v>24051848.974439178</v>
      </c>
      <c r="P72" s="165">
        <f t="shared" si="11"/>
        <v>35468749.667405695</v>
      </c>
      <c r="Q72" s="165">
        <f t="shared" si="11"/>
        <v>47712680.455802694</v>
      </c>
      <c r="R72" s="165">
        <f t="shared" si="11"/>
        <v>60111341.693301558</v>
      </c>
    </row>
    <row r="73" spans="3:18" ht="12" thickBot="1" x14ac:dyDescent="0.4">
      <c r="I73" s="316"/>
    </row>
    <row r="74" spans="3:18" ht="12" thickBot="1" x14ac:dyDescent="0.4">
      <c r="C74" s="441" t="s">
        <v>196</v>
      </c>
      <c r="D74" s="442"/>
      <c r="E74" s="442"/>
      <c r="F74" s="442"/>
      <c r="G74" s="443"/>
      <c r="H74" s="221">
        <f>H21+H23+H25+H27-H70+H69+H59+H61</f>
        <v>497.27</v>
      </c>
      <c r="I74" s="315">
        <f t="shared" ref="I74:R74" si="12">I21+I23+I25+I27-I70+I69+I59+I61</f>
        <v>590</v>
      </c>
      <c r="J74" s="315">
        <f t="shared" si="12"/>
        <v>-54647.044999999984</v>
      </c>
      <c r="K74" s="315">
        <f t="shared" si="12"/>
        <v>79642.541333333269</v>
      </c>
      <c r="L74" s="315">
        <f t="shared" si="12"/>
        <v>-196307.05680462226</v>
      </c>
      <c r="M74" s="315">
        <f t="shared" si="12"/>
        <v>-1070364.1486465414</v>
      </c>
      <c r="N74" s="315">
        <f t="shared" si="12"/>
        <v>-2218011.9543952006</v>
      </c>
      <c r="O74" s="315">
        <f t="shared" si="12"/>
        <v>-3214537.3045573644</v>
      </c>
      <c r="P74" s="315">
        <f t="shared" si="12"/>
        <v>-4120630.7500913539</v>
      </c>
      <c r="Q74" s="315">
        <f t="shared" si="12"/>
        <v>-4617113.3486749623</v>
      </c>
      <c r="R74" s="315">
        <f t="shared" si="12"/>
        <v>-4798060.215638007</v>
      </c>
    </row>
  </sheetData>
  <mergeCells count="10">
    <mergeCell ref="C57:G57"/>
    <mergeCell ref="C70:G70"/>
    <mergeCell ref="C72:G72"/>
    <mergeCell ref="C74:G74"/>
    <mergeCell ref="C2:G2"/>
    <mergeCell ref="C19:G19"/>
    <mergeCell ref="C30:G30"/>
    <mergeCell ref="C31:G31"/>
    <mergeCell ref="C37:R37"/>
    <mergeCell ref="C3:R3"/>
  </mergeCells>
  <conditionalFormatting sqref="B2:C3 B38:B72 D20:G20 B4:B31 D59:G68 B32:M36 H38:M49 B74 C21:G26 D27:G29 D16:G18 C4:G10 C12:G15 D11:G11 H2:R2 B73:R73 N39:R49 H51:R58 B37:C37 H63:R72 H4:R34">
    <cfRule type="cellIs" dxfId="25" priority="26" operator="lessThan">
      <formula>0</formula>
    </cfRule>
  </conditionalFormatting>
  <conditionalFormatting sqref="H38:R49 H58:R58 H54:R56 H63:R69">
    <cfRule type="cellIs" dxfId="24" priority="25" operator="lessThan">
      <formula>0</formula>
    </cfRule>
  </conditionalFormatting>
  <conditionalFormatting sqref="D39:G49 C43:C46 C63:C68 C58:G58 C56:C57 E56 C52:G55 C38:G38 C69:G69 C71:G71 C70 C72 C50 D51:G51">
    <cfRule type="cellIs" dxfId="23" priority="23" operator="lessThan">
      <formula>0</formula>
    </cfRule>
  </conditionalFormatting>
  <conditionalFormatting sqref="C49">
    <cfRule type="cellIs" dxfId="22" priority="22" operator="lessThan">
      <formula>0</formula>
    </cfRule>
  </conditionalFormatting>
  <conditionalFormatting sqref="C48">
    <cfRule type="cellIs" dxfId="21" priority="21" operator="lessThan">
      <formula>0</formula>
    </cfRule>
  </conditionalFormatting>
  <conditionalFormatting sqref="C42">
    <cfRule type="cellIs" dxfId="20" priority="20" operator="lessThan">
      <formula>0</formula>
    </cfRule>
  </conditionalFormatting>
  <conditionalFormatting sqref="C40:C41">
    <cfRule type="cellIs" dxfId="19" priority="19" operator="lessThan">
      <formula>0</formula>
    </cfRule>
  </conditionalFormatting>
  <conditionalFormatting sqref="C19 C30:C31">
    <cfRule type="cellIs" dxfId="18" priority="24" operator="lessThan">
      <formula>0</formula>
    </cfRule>
  </conditionalFormatting>
  <conditionalFormatting sqref="C39">
    <cfRule type="cellIs" dxfId="17" priority="18" operator="lessThan">
      <formula>0</formula>
    </cfRule>
  </conditionalFormatting>
  <conditionalFormatting sqref="H34:R34">
    <cfRule type="cellIs" dxfId="16" priority="16" operator="notEqual">
      <formula>0</formula>
    </cfRule>
    <cfRule type="cellIs" dxfId="15" priority="17" operator="equal">
      <formula>0</formula>
    </cfRule>
  </conditionalFormatting>
  <conditionalFormatting sqref="H50:R50">
    <cfRule type="cellIs" dxfId="14" priority="15" operator="lessThan">
      <formula>0</formula>
    </cfRule>
  </conditionalFormatting>
  <conditionalFormatting sqref="H50:R50">
    <cfRule type="cellIs" dxfId="13" priority="14" operator="lessThan">
      <formula>0</formula>
    </cfRule>
  </conditionalFormatting>
  <conditionalFormatting sqref="E50">
    <cfRule type="cellIs" dxfId="12" priority="13" operator="lessThan">
      <formula>0</formula>
    </cfRule>
  </conditionalFormatting>
  <conditionalFormatting sqref="H74:R74">
    <cfRule type="cellIs" dxfId="11" priority="12" operator="lessThan">
      <formula>0</formula>
    </cfRule>
  </conditionalFormatting>
  <conditionalFormatting sqref="C74">
    <cfRule type="cellIs" dxfId="10" priority="11" operator="lessThan">
      <formula>0</formula>
    </cfRule>
  </conditionalFormatting>
  <conditionalFormatting sqref="C40">
    <cfRule type="cellIs" dxfId="9" priority="10" operator="lessThan">
      <formula>0</formula>
    </cfRule>
  </conditionalFormatting>
  <conditionalFormatting sqref="C16">
    <cfRule type="cellIs" dxfId="8" priority="2" operator="lessThan">
      <formula>0</formula>
    </cfRule>
  </conditionalFormatting>
  <conditionalFormatting sqref="C29">
    <cfRule type="cellIs" dxfId="7" priority="8" operator="lessThan">
      <formula>0</formula>
    </cfRule>
  </conditionalFormatting>
  <conditionalFormatting sqref="C28">
    <cfRule type="cellIs" dxfId="6" priority="7" operator="lessThan">
      <formula>0</formula>
    </cfRule>
  </conditionalFormatting>
  <conditionalFormatting sqref="C51">
    <cfRule type="cellIs" dxfId="5" priority="6" operator="lessThan">
      <formula>0</formula>
    </cfRule>
  </conditionalFormatting>
  <conditionalFormatting sqref="C27">
    <cfRule type="cellIs" dxfId="4" priority="5" operator="lessThan">
      <formula>0</formula>
    </cfRule>
  </conditionalFormatting>
  <conditionalFormatting sqref="C18">
    <cfRule type="cellIs" dxfId="3" priority="4" operator="lessThan">
      <formula>0</formula>
    </cfRule>
  </conditionalFormatting>
  <conditionalFormatting sqref="C17">
    <cfRule type="cellIs" dxfId="2" priority="3" operator="lessThan">
      <formula>0</formula>
    </cfRule>
  </conditionalFormatting>
  <conditionalFormatting sqref="C11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5DE02-CF4C-47A4-9E7D-CE0C6F0E867D}">
  <dimension ref="A1:M33"/>
  <sheetViews>
    <sheetView showGridLines="0" workbookViewId="0">
      <selection activeCell="F34" sqref="F34"/>
    </sheetView>
  </sheetViews>
  <sheetFormatPr baseColWidth="10" defaultRowHeight="14.25" x14ac:dyDescent="0.45"/>
  <cols>
    <col min="3" max="3" width="35.3984375" bestFit="1" customWidth="1"/>
    <col min="4" max="8" width="12.33203125" bestFit="1" customWidth="1"/>
    <col min="9" max="13" width="11.33203125" bestFit="1" customWidth="1"/>
  </cols>
  <sheetData>
    <row r="1" spans="1:13" x14ac:dyDescent="0.45">
      <c r="A1" t="s">
        <v>175</v>
      </c>
      <c r="B1" s="76">
        <v>0.3</v>
      </c>
    </row>
    <row r="2" spans="1:13" ht="14.65" thickBot="1" x14ac:dyDescent="0.5"/>
    <row r="3" spans="1:13" ht="14.65" thickBot="1" x14ac:dyDescent="0.5">
      <c r="B3" s="183" t="s">
        <v>173</v>
      </c>
      <c r="C3" s="184" t="s">
        <v>174</v>
      </c>
      <c r="D3" s="195" t="s">
        <v>212</v>
      </c>
      <c r="E3" s="195" t="s">
        <v>213</v>
      </c>
      <c r="F3" s="195" t="s">
        <v>214</v>
      </c>
      <c r="G3" s="195" t="s">
        <v>215</v>
      </c>
      <c r="H3" s="195" t="s">
        <v>216</v>
      </c>
      <c r="I3" s="195" t="s">
        <v>244</v>
      </c>
      <c r="J3" s="195" t="s">
        <v>245</v>
      </c>
      <c r="K3" s="195" t="s">
        <v>246</v>
      </c>
      <c r="L3" s="195" t="s">
        <v>247</v>
      </c>
      <c r="M3" s="195" t="s">
        <v>248</v>
      </c>
    </row>
    <row r="4" spans="1:13" x14ac:dyDescent="0.45">
      <c r="B4" s="185">
        <v>0.8</v>
      </c>
      <c r="C4" s="186" t="str">
        <f>IF('Hypothèses de recrutement'!F5=17%,'Hypothèses de recrutement'!C5,"")</f>
        <v>Ingénieur 1</v>
      </c>
      <c r="D4" s="190">
        <f>$B4*'Hypothèses de recrutement'!G5</f>
        <v>0</v>
      </c>
      <c r="E4" s="191">
        <f>$B4*'Hypothèses de recrutement'!H5</f>
        <v>38975.200000000004</v>
      </c>
      <c r="F4" s="191">
        <f>$B4*'Hypothèses de recrutement'!I5</f>
        <v>43756.800000000003</v>
      </c>
      <c r="G4" s="191">
        <f>$B4*'Hypothèses de recrutement'!J5</f>
        <v>44995.200000000012</v>
      </c>
      <c r="H4" s="192">
        <f>$B4*'Hypothèses de recrutement'!K5</f>
        <v>46233.600000000006</v>
      </c>
      <c r="I4" s="192">
        <f>$B4*'Hypothèses de recrutement'!L5</f>
        <v>47472</v>
      </c>
      <c r="J4" s="192">
        <f>$B4*'Hypothèses de recrutement'!M5</f>
        <v>48297.599999999999</v>
      </c>
      <c r="K4" s="192">
        <f>$B4*'Hypothèses de recrutement'!N5</f>
        <v>49123.200000000004</v>
      </c>
      <c r="L4" s="192">
        <f>$B4*'Hypothèses de recrutement'!O5</f>
        <v>49536</v>
      </c>
      <c r="M4" s="192">
        <f>$B4*'Hypothèses de recrutement'!P5</f>
        <v>49948.800000000003</v>
      </c>
    </row>
    <row r="5" spans="1:13" x14ac:dyDescent="0.45">
      <c r="B5" s="181">
        <v>0.8</v>
      </c>
      <c r="C5" s="187" t="str">
        <f>IF('Hypothèses de recrutement'!F6=17%,'Hypothèses de recrutement'!C6,"")</f>
        <v/>
      </c>
      <c r="D5" s="193">
        <f>$B5*'Hypothèses de recrutement'!G6</f>
        <v>0</v>
      </c>
      <c r="E5" s="169">
        <f>$B5*'Hypothèses de recrutement'!H6</f>
        <v>26285.600000000002</v>
      </c>
      <c r="F5" s="169">
        <f>$B5*'Hypothèses de recrutement'!I6</f>
        <v>29510.400000000001</v>
      </c>
      <c r="G5" s="169">
        <f>$B5*'Hypothèses de recrutement'!J6</f>
        <v>30345.600000000002</v>
      </c>
      <c r="H5" s="170">
        <f>$B5*'Hypothèses de recrutement'!K6</f>
        <v>31180.800000000007</v>
      </c>
      <c r="I5" s="170">
        <f>$B5*'Hypothèses de recrutement'!L6</f>
        <v>32016</v>
      </c>
      <c r="J5" s="170">
        <f>$B5*'Hypothèses de recrutement'!M6</f>
        <v>32572.800000000003</v>
      </c>
      <c r="K5" s="170">
        <f>$B5*'Hypothèses de recrutement'!N6</f>
        <v>33129.599999999999</v>
      </c>
      <c r="L5" s="170">
        <f>$B5*'Hypothèses de recrutement'!O6</f>
        <v>33408</v>
      </c>
      <c r="M5" s="170">
        <f>$B5*'Hypothèses de recrutement'!P6</f>
        <v>33686.400000000001</v>
      </c>
    </row>
    <row r="6" spans="1:13" x14ac:dyDescent="0.45">
      <c r="B6" s="181">
        <v>0.8</v>
      </c>
      <c r="C6" s="187" t="str">
        <f>IF('Hypothèses de recrutement'!F7=17%,'Hypothèses de recrutement'!C7,"")</f>
        <v>CTO data scientist</v>
      </c>
      <c r="D6" s="193">
        <f>$B6*'Hypothèses de recrutement'!G7</f>
        <v>0</v>
      </c>
      <c r="E6" s="169">
        <f>$B6*'Hypothèses de recrutement'!H7</f>
        <v>63448</v>
      </c>
      <c r="F6" s="169">
        <f>$B6*'Hypothèses de recrutement'!I7</f>
        <v>71232</v>
      </c>
      <c r="G6" s="169">
        <f>$B6*'Hypothèses de recrutement'!J7</f>
        <v>73248</v>
      </c>
      <c r="H6" s="170">
        <f>$B6*'Hypothèses de recrutement'!K7</f>
        <v>75264.000000000015</v>
      </c>
      <c r="I6" s="170">
        <f>$B6*'Hypothèses de recrutement'!L7</f>
        <v>77279.999999999985</v>
      </c>
      <c r="J6" s="170">
        <f>$B6*'Hypothèses de recrutement'!M7</f>
        <v>78624</v>
      </c>
      <c r="K6" s="170">
        <f>$B6*'Hypothèses de recrutement'!N7</f>
        <v>79968</v>
      </c>
      <c r="L6" s="170">
        <f>$B6*'Hypothèses de recrutement'!O7</f>
        <v>80640</v>
      </c>
      <c r="M6" s="170">
        <f>$B6*'Hypothèses de recrutement'!P7</f>
        <v>81312</v>
      </c>
    </row>
    <row r="7" spans="1:13" x14ac:dyDescent="0.45">
      <c r="B7" s="181">
        <v>1</v>
      </c>
      <c r="C7" s="187" t="str">
        <f>IF('Hypothèses de recrutement'!F12=17%,'Hypothèses de recrutement'!C12,"")</f>
        <v/>
      </c>
      <c r="D7" s="193">
        <f>$B7*'Hypothèses de recrutement'!G12</f>
        <v>0</v>
      </c>
      <c r="E7" s="169">
        <f>$B7*'Hypothèses de recrutement'!H12</f>
        <v>58916</v>
      </c>
      <c r="F7" s="169">
        <f>$B7*'Hypothèses de recrutement'!I12</f>
        <v>66144</v>
      </c>
      <c r="G7" s="169">
        <f>$B7*'Hypothèses de recrutement'!J12</f>
        <v>68016</v>
      </c>
      <c r="H7" s="170">
        <f>$B7*'Hypothèses de recrutement'!K12</f>
        <v>69888</v>
      </c>
      <c r="I7" s="170">
        <f>$B7*'Hypothèses de recrutement'!L12</f>
        <v>71760</v>
      </c>
      <c r="J7" s="170">
        <f>$B7*'Hypothèses de recrutement'!M12</f>
        <v>73008</v>
      </c>
      <c r="K7" s="170">
        <f>$B7*'Hypothèses de recrutement'!N12</f>
        <v>74256</v>
      </c>
      <c r="L7" s="170">
        <f>$B7*'Hypothèses de recrutement'!O12</f>
        <v>74880</v>
      </c>
      <c r="M7" s="170">
        <f>$B7*'Hypothèses de recrutement'!P12</f>
        <v>75504</v>
      </c>
    </row>
    <row r="8" spans="1:13" x14ac:dyDescent="0.45">
      <c r="B8" s="181">
        <v>1</v>
      </c>
      <c r="C8" s="187" t="str">
        <f>IF('Hypothèses de recrutement'!F14=17%,'Hypothèses de recrutement'!C14,"")</f>
        <v>Doctorant (thèse)</v>
      </c>
      <c r="D8" s="193">
        <f>$B8*'Hypothèses de recrutement'!G14</f>
        <v>0</v>
      </c>
      <c r="E8" s="169">
        <f>$B8*'Hypothèses de recrutement'!H14</f>
        <v>21630</v>
      </c>
      <c r="F8" s="169">
        <f>$B8*'Hypothèses de recrutement'!I14</f>
        <v>38160</v>
      </c>
      <c r="G8" s="169">
        <f>$B8*'Hypothèses de recrutement'!J14</f>
        <v>39240</v>
      </c>
      <c r="H8" s="170">
        <f>$B8*'Hypothèses de recrutement'!K14</f>
        <v>40320.000000000007</v>
      </c>
      <c r="I8" s="170">
        <f>$B8*'Hypothèses de recrutement'!L14</f>
        <v>41400</v>
      </c>
      <c r="J8" s="170">
        <f>$B8*'Hypothèses de recrutement'!M14</f>
        <v>42120</v>
      </c>
      <c r="K8" s="170">
        <f>$B8*'Hypothèses de recrutement'!N14</f>
        <v>42840</v>
      </c>
      <c r="L8" s="170">
        <f>$B8*'Hypothèses de recrutement'!O14</f>
        <v>43200</v>
      </c>
      <c r="M8" s="170">
        <f>$B8*'Hypothèses de recrutement'!P14</f>
        <v>43560</v>
      </c>
    </row>
    <row r="9" spans="1:13" x14ac:dyDescent="0.45">
      <c r="B9" s="181">
        <v>1</v>
      </c>
      <c r="C9" s="187" t="str">
        <f>IF('Hypothèses de recrutement'!F15=17%,'Hypothèses de recrutement'!C15,"")</f>
        <v>Ingénieur 3</v>
      </c>
      <c r="D9" s="193">
        <f>$B9*'Hypothèses de recrutement'!G15</f>
        <v>0</v>
      </c>
      <c r="E9" s="169">
        <f>$B9*'Hypothèses de recrutement'!H15</f>
        <v>26574</v>
      </c>
      <c r="F9" s="169">
        <f>$B9*'Hypothèses de recrutement'!I15</f>
        <v>54696</v>
      </c>
      <c r="G9" s="169">
        <f>$B9*'Hypothèses de recrutement'!J15</f>
        <v>56244.000000000007</v>
      </c>
      <c r="H9" s="170">
        <f>$B9*'Hypothèses de recrutement'!K15</f>
        <v>57792.000000000007</v>
      </c>
      <c r="I9" s="170">
        <f>$B9*'Hypothèses de recrutement'!L15</f>
        <v>59339.999999999993</v>
      </c>
      <c r="J9" s="170">
        <f>$B9*'Hypothèses de recrutement'!M15</f>
        <v>60371.999999999993</v>
      </c>
      <c r="K9" s="170">
        <f>$B9*'Hypothèses de recrutement'!N15</f>
        <v>61404</v>
      </c>
      <c r="L9" s="170">
        <f>$B9*'Hypothèses de recrutement'!O15</f>
        <v>61920</v>
      </c>
      <c r="M9" s="170">
        <f>$B9*'Hypothèses de recrutement'!P15</f>
        <v>62436</v>
      </c>
    </row>
    <row r="10" spans="1:13" x14ac:dyDescent="0.45">
      <c r="B10" s="181">
        <v>0.8</v>
      </c>
      <c r="C10" s="187" t="str">
        <f>IF('Hypothèses de recrutement'!F16=17%,'Hypothèses de recrutement'!C16,"")</f>
        <v>Doctorant (thèse)</v>
      </c>
      <c r="D10" s="193">
        <f>$B10*'Hypothèses de recrutement'!G16</f>
        <v>0</v>
      </c>
      <c r="E10" s="169">
        <f>$B10*'Hypothèses de recrutement'!H16</f>
        <v>0</v>
      </c>
      <c r="F10" s="169">
        <f>$B10*'Hypothèses de recrutement'!I16</f>
        <v>27984</v>
      </c>
      <c r="G10" s="169">
        <f>$B10*'Hypothèses de recrutement'!J16</f>
        <v>31392</v>
      </c>
      <c r="H10" s="170">
        <f>$B10*'Hypothèses de recrutement'!K16</f>
        <v>32256.000000000007</v>
      </c>
      <c r="I10" s="170">
        <f>$B10*'Hypothèses de recrutement'!L16</f>
        <v>33120</v>
      </c>
      <c r="J10" s="170">
        <f>$B10*'Hypothèses de recrutement'!M16</f>
        <v>33696</v>
      </c>
      <c r="K10" s="170">
        <f>$B10*'Hypothèses de recrutement'!N16</f>
        <v>34272</v>
      </c>
      <c r="L10" s="170">
        <f>$B10*'Hypothèses de recrutement'!O16</f>
        <v>34560</v>
      </c>
      <c r="M10" s="170">
        <f>$B10*'Hypothèses de recrutement'!P16</f>
        <v>34848</v>
      </c>
    </row>
    <row r="11" spans="1:13" x14ac:dyDescent="0.45">
      <c r="B11" s="181">
        <v>0.8</v>
      </c>
      <c r="C11" s="187" t="str">
        <f>IF('Hypothèses de recrutement'!F17=17%,'Hypothèses de recrutement'!C17,"")</f>
        <v>Post doc 1</v>
      </c>
      <c r="D11" s="193">
        <f>$B11*'Hypothèses de recrutement'!G17</f>
        <v>0</v>
      </c>
      <c r="E11" s="169">
        <f>$B11*'Hypothèses de recrutement'!H17</f>
        <v>0</v>
      </c>
      <c r="F11" s="169">
        <f>$B11*'Hypothèses de recrutement'!I17</f>
        <v>40110.400000000001</v>
      </c>
      <c r="G11" s="169">
        <f>$B11*'Hypothèses de recrutement'!J17</f>
        <v>44995.200000000012</v>
      </c>
      <c r="H11" s="170">
        <f>$B11*'Hypothèses de recrutement'!K17</f>
        <v>46233.600000000006</v>
      </c>
      <c r="I11" s="170">
        <f>$B11*'Hypothèses de recrutement'!L17</f>
        <v>47472</v>
      </c>
      <c r="J11" s="170">
        <f>$B11*'Hypothèses de recrutement'!M17</f>
        <v>48297.599999999999</v>
      </c>
      <c r="K11" s="170">
        <f>$B11*'Hypothèses de recrutement'!N17</f>
        <v>49123.200000000004</v>
      </c>
      <c r="L11" s="170">
        <f>$B11*'Hypothèses de recrutement'!O17</f>
        <v>49536</v>
      </c>
      <c r="M11" s="170">
        <f>$B11*'Hypothèses de recrutement'!P17</f>
        <v>49948.800000000003</v>
      </c>
    </row>
    <row r="12" spans="1:13" x14ac:dyDescent="0.45">
      <c r="B12" s="181">
        <v>0.3</v>
      </c>
      <c r="C12" s="187" t="str">
        <f>IF('Hypothèses de recrutement'!F18=17%,'Hypothèses de recrutement'!C18,"")</f>
        <v>Resp études transition num. RSE</v>
      </c>
      <c r="D12" s="193">
        <f>$B12*'Hypothèses de recrutement'!G18</f>
        <v>0</v>
      </c>
      <c r="E12" s="169">
        <f>$B12*'Hypothèses de recrutement'!H18</f>
        <v>0</v>
      </c>
      <c r="F12" s="169">
        <f>$B12*'Hypothèses de recrutement'!I18</f>
        <v>12942.6</v>
      </c>
      <c r="G12" s="169">
        <f>$B12*'Hypothèses de recrutement'!J18</f>
        <v>14518.8</v>
      </c>
      <c r="H12" s="170">
        <f>$B12*'Hypothèses de recrutement'!K18</f>
        <v>14918.400000000001</v>
      </c>
      <c r="I12" s="170">
        <f>$B12*'Hypothèses de recrutement'!L18</f>
        <v>15317.999999999996</v>
      </c>
      <c r="J12" s="170">
        <f>$B12*'Hypothèses de recrutement'!M18</f>
        <v>15584.4</v>
      </c>
      <c r="K12" s="170">
        <f>$B12*'Hypothèses de recrutement'!N18</f>
        <v>15850.8</v>
      </c>
      <c r="L12" s="170">
        <f>$B12*'Hypothèses de recrutement'!O18</f>
        <v>15984</v>
      </c>
      <c r="M12" s="170">
        <f>$B12*'Hypothèses de recrutement'!P18</f>
        <v>16117.199999999999</v>
      </c>
    </row>
    <row r="13" spans="1:13" x14ac:dyDescent="0.45">
      <c r="B13" s="181">
        <v>0.5</v>
      </c>
      <c r="C13" s="187" t="str">
        <f>IF('Hypothèses de recrutement'!F19=17%,'Hypothèses de recrutement'!C19,"")</f>
        <v>Resp études expé - transitions num.</v>
      </c>
      <c r="D13" s="193">
        <f>$B13*'Hypothèses de recrutement'!G19</f>
        <v>0</v>
      </c>
      <c r="E13" s="169">
        <f>$B13*'Hypothèses de recrutement'!H19</f>
        <v>0</v>
      </c>
      <c r="F13" s="169">
        <f>$B13*'Hypothèses de recrutement'!I19</f>
        <v>21571</v>
      </c>
      <c r="G13" s="169">
        <f>$B13*'Hypothèses de recrutement'!J19</f>
        <v>24198</v>
      </c>
      <c r="H13" s="170">
        <f>$B13*'Hypothèses de recrutement'!K19</f>
        <v>24864.000000000004</v>
      </c>
      <c r="I13" s="170">
        <f>$B13*'Hypothèses de recrutement'!L19</f>
        <v>25529.999999999996</v>
      </c>
      <c r="J13" s="170">
        <f>$B13*'Hypothèses de recrutement'!M19</f>
        <v>25974</v>
      </c>
      <c r="K13" s="170">
        <f>$B13*'Hypothèses de recrutement'!N19</f>
        <v>26418</v>
      </c>
      <c r="L13" s="170">
        <f>$B13*'Hypothèses de recrutement'!O19</f>
        <v>26640</v>
      </c>
      <c r="M13" s="170">
        <f>$B13*'Hypothèses de recrutement'!P19</f>
        <v>26862</v>
      </c>
    </row>
    <row r="14" spans="1:13" ht="13.15" customHeight="1" x14ac:dyDescent="0.45">
      <c r="B14" s="181">
        <v>0.5</v>
      </c>
      <c r="C14" s="187" t="str">
        <f>IF('Hypothèses de recrutement'!F20=17%,'Hypothèses de recrutement'!C20,"")</f>
        <v>Responsable projet</v>
      </c>
      <c r="D14" s="193">
        <f>$B14*'Hypothèses de recrutement'!G20</f>
        <v>0</v>
      </c>
      <c r="E14" s="169">
        <f>$B14*'Hypothèses de recrutement'!H20</f>
        <v>0</v>
      </c>
      <c r="F14" s="169">
        <f>$B14*'Hypothèses de recrutement'!I20</f>
        <v>21571</v>
      </c>
      <c r="G14" s="169">
        <f>$B14*'Hypothèses de recrutement'!J20</f>
        <v>24198</v>
      </c>
      <c r="H14" s="170">
        <f>$B14*'Hypothèses de recrutement'!K20</f>
        <v>24864.000000000004</v>
      </c>
      <c r="I14" s="170">
        <f>$B14*'Hypothèses de recrutement'!L20</f>
        <v>25529.999999999996</v>
      </c>
      <c r="J14" s="170">
        <f>$B14*'Hypothèses de recrutement'!M20</f>
        <v>25974</v>
      </c>
      <c r="K14" s="170">
        <f>$B14*'Hypothèses de recrutement'!N20</f>
        <v>26418</v>
      </c>
      <c r="L14" s="170">
        <f>$B14*'Hypothèses de recrutement'!O20</f>
        <v>26640</v>
      </c>
      <c r="M14" s="170">
        <f>$B14*'Hypothèses de recrutement'!P20</f>
        <v>26862</v>
      </c>
    </row>
    <row r="15" spans="1:13" x14ac:dyDescent="0.45">
      <c r="B15" s="181">
        <v>0.8</v>
      </c>
      <c r="C15" s="187" t="str">
        <f>IF('Hypothèses de recrutement'!F21=17%,'Hypothèses de recrutement'!C21,"")</f>
        <v/>
      </c>
      <c r="D15" s="193">
        <f>$B15*'Hypothèses de recrutement'!G21</f>
        <v>0</v>
      </c>
      <c r="E15" s="169">
        <f>$B15*'Hypothèses de recrutement'!H21</f>
        <v>0</v>
      </c>
      <c r="F15" s="169">
        <f>$B15*'Hypothèses de recrutement'!I21</f>
        <v>26457.600000000002</v>
      </c>
      <c r="G15" s="169">
        <f>$B15*'Hypothèses de recrutement'!J21</f>
        <v>40809.600000000006</v>
      </c>
      <c r="H15" s="170">
        <f>$B15*'Hypothèses de recrutement'!K21</f>
        <v>41932.80000000001</v>
      </c>
      <c r="I15" s="170">
        <f>$B15*'Hypothèses de recrutement'!L21</f>
        <v>43056</v>
      </c>
      <c r="J15" s="170">
        <f>$B15*'Hypothèses de recrutement'!M21</f>
        <v>43804.800000000003</v>
      </c>
      <c r="K15" s="170">
        <f>$B15*'Hypothèses de recrutement'!N21</f>
        <v>44553.600000000006</v>
      </c>
      <c r="L15" s="170">
        <f>$B15*'Hypothèses de recrutement'!O21</f>
        <v>44928</v>
      </c>
      <c r="M15" s="170">
        <f>$B15*'Hypothèses de recrutement'!P21</f>
        <v>45302.400000000001</v>
      </c>
    </row>
    <row r="16" spans="1:13" x14ac:dyDescent="0.45">
      <c r="B16" s="181">
        <v>0.8</v>
      </c>
      <c r="C16" s="187" t="str">
        <f>IF('Hypothèses de recrutement'!F22=17%,'Hypothèses de recrutement'!C22,"")</f>
        <v/>
      </c>
      <c r="D16" s="193">
        <f>$B16*'Hypothèses de recrutement'!G22</f>
        <v>0</v>
      </c>
      <c r="E16" s="169">
        <f>$B16*'Hypothèses de recrutement'!H22</f>
        <v>0</v>
      </c>
      <c r="F16" s="169">
        <f>$B16*'Hypothèses de recrutement'!I22</f>
        <v>41552</v>
      </c>
      <c r="G16" s="169">
        <f>$B16*'Hypothèses de recrutement'!J22</f>
        <v>73248</v>
      </c>
      <c r="H16" s="170">
        <f>$B16*'Hypothèses de recrutement'!K22</f>
        <v>75264.000000000015</v>
      </c>
      <c r="I16" s="170">
        <f>$B16*'Hypothèses de recrutement'!L22</f>
        <v>77279.999999999985</v>
      </c>
      <c r="J16" s="170">
        <f>$B16*'Hypothèses de recrutement'!M22</f>
        <v>78624</v>
      </c>
      <c r="K16" s="170">
        <f>$B16*'Hypothèses de recrutement'!N22</f>
        <v>79968</v>
      </c>
      <c r="L16" s="170">
        <f>$B16*'Hypothèses de recrutement'!O22</f>
        <v>80640</v>
      </c>
      <c r="M16" s="170">
        <f>$B16*'Hypothèses de recrutement'!P22</f>
        <v>81312</v>
      </c>
    </row>
    <row r="17" spans="2:13" x14ac:dyDescent="0.45">
      <c r="B17" s="181">
        <v>1</v>
      </c>
      <c r="C17" s="187" t="str">
        <f>IF('Hypothèses de recrutement'!F30=17%,'Hypothèses de recrutement'!C30,"")</f>
        <v>Resp études expé</v>
      </c>
      <c r="D17" s="193">
        <f>$B17*'Hypothèses de recrutement'!G30</f>
        <v>0</v>
      </c>
      <c r="E17" s="169">
        <f>$B17*'Hypothèses de recrutement'!H30</f>
        <v>0</v>
      </c>
      <c r="F17" s="169">
        <f>$B17*'Hypothèses de recrutement'!I30</f>
        <v>0</v>
      </c>
      <c r="G17" s="169">
        <f>$B17*'Hypothèses de recrutement'!J30</f>
        <v>0</v>
      </c>
      <c r="H17" s="170">
        <f>$B17*'Hypothèses de recrutement'!K30</f>
        <v>37296</v>
      </c>
      <c r="I17" s="170">
        <f>$B17*'Hypothèses de recrutement'!L30</f>
        <v>51059.999999999993</v>
      </c>
      <c r="J17" s="170">
        <f>$B17*'Hypothèses de recrutement'!M30</f>
        <v>51948</v>
      </c>
      <c r="K17" s="170">
        <f>$B17*'Hypothèses de recrutement'!N30</f>
        <v>52836</v>
      </c>
      <c r="L17" s="170">
        <f>$B17*'Hypothèses de recrutement'!O30</f>
        <v>53280</v>
      </c>
      <c r="M17" s="170">
        <f>$B17*'Hypothèses de recrutement'!P30</f>
        <v>53724</v>
      </c>
    </row>
    <row r="18" spans="2:13" x14ac:dyDescent="0.45">
      <c r="B18" s="181">
        <v>0.8</v>
      </c>
      <c r="C18" s="187" t="str">
        <f>IF('Hypothèses de recrutement'!F32=17%,'Hypothèses de recrutement'!C32,"")</f>
        <v>Post doc 3</v>
      </c>
      <c r="D18" s="193">
        <f>$B18*'Hypothèses de recrutement'!G32</f>
        <v>0</v>
      </c>
      <c r="E18" s="169">
        <f>$B18*'Hypothèses de recrutement'!H32</f>
        <v>0</v>
      </c>
      <c r="F18" s="169">
        <f>$B18*'Hypothèses de recrutement'!I32</f>
        <v>0</v>
      </c>
      <c r="G18" s="169">
        <f>$B18*'Hypothèses de recrutement'!J32</f>
        <v>0</v>
      </c>
      <c r="H18" s="170">
        <f>$B18*'Hypothèses de recrutement'!K32</f>
        <v>0</v>
      </c>
      <c r="I18" s="170">
        <f>$B18*'Hypothèses de recrutement'!L32</f>
        <v>35604</v>
      </c>
      <c r="J18" s="170">
        <f>$B18*'Hypothèses de recrutement'!M32</f>
        <v>48297.599999999999</v>
      </c>
      <c r="K18" s="170">
        <f>$B18*'Hypothèses de recrutement'!N32</f>
        <v>49123.200000000004</v>
      </c>
      <c r="L18" s="170">
        <f>$B18*'Hypothèses de recrutement'!O32</f>
        <v>49536</v>
      </c>
      <c r="M18" s="170">
        <f>$B18*'Hypothèses de recrutement'!P32</f>
        <v>49948.800000000003</v>
      </c>
    </row>
    <row r="19" spans="2:13" x14ac:dyDescent="0.45">
      <c r="B19" s="181">
        <v>0.8</v>
      </c>
      <c r="C19" s="187" t="str">
        <f>IF('Hypothèses de recrutement'!F34=17%,'Hypothèses de recrutement'!C34,"")</f>
        <v>Post doc 4</v>
      </c>
      <c r="D19" s="193">
        <f>$B19*'Hypothèses de recrutement'!G34</f>
        <v>0</v>
      </c>
      <c r="E19" s="169">
        <f>$B19*'Hypothèses de recrutement'!H34</f>
        <v>0</v>
      </c>
      <c r="F19" s="169">
        <f>$B19*'Hypothèses de recrutement'!I34</f>
        <v>0</v>
      </c>
      <c r="G19" s="169">
        <f>$B19*'Hypothèses de recrutement'!J34</f>
        <v>0</v>
      </c>
      <c r="H19" s="170">
        <f>$B19*'Hypothèses de recrutement'!K34</f>
        <v>0</v>
      </c>
      <c r="I19" s="170">
        <f>$B19*'Hypothèses de recrutement'!L34</f>
        <v>0</v>
      </c>
      <c r="J19" s="170">
        <f>$B19*'Hypothèses de recrutement'!M34</f>
        <v>36223.200000000004</v>
      </c>
      <c r="K19" s="170">
        <f>$B19*'Hypothèses de recrutement'!N34</f>
        <v>49123.200000000004</v>
      </c>
      <c r="L19" s="170">
        <f>$B19*'Hypothèses de recrutement'!O34</f>
        <v>49536</v>
      </c>
      <c r="M19" s="170">
        <f>$B19*'Hypothèses de recrutement'!P34</f>
        <v>49948.800000000003</v>
      </c>
    </row>
    <row r="20" spans="2:13" x14ac:dyDescent="0.45">
      <c r="B20" s="181">
        <v>0.5</v>
      </c>
      <c r="C20" s="187" t="str">
        <f>IF('Hypothèses de recrutement'!F35=17%,'Hypothèses de recrutement'!C35,"")</f>
        <v/>
      </c>
      <c r="D20" s="193">
        <f>$B20*'Hypothèses de recrutement'!G35</f>
        <v>0</v>
      </c>
      <c r="E20" s="169">
        <f>$B20*'Hypothèses de recrutement'!H35</f>
        <v>0</v>
      </c>
      <c r="F20" s="169">
        <f>$B20*'Hypothèses de recrutement'!I35</f>
        <v>0</v>
      </c>
      <c r="G20" s="169">
        <f>$B20*'Hypothèses de recrutement'!J35</f>
        <v>0</v>
      </c>
      <c r="H20" s="170">
        <f>$B20*'Hypothèses de recrutement'!K35</f>
        <v>0</v>
      </c>
      <c r="I20" s="170">
        <f>$B20*'Hypothèses de recrutement'!L35</f>
        <v>0</v>
      </c>
      <c r="J20" s="170">
        <f>$B20*'Hypothèses de recrutement'!M35</f>
        <v>10179</v>
      </c>
      <c r="K20" s="170">
        <f>$B20*'Hypothèses de recrutement'!N35</f>
        <v>20706</v>
      </c>
      <c r="L20" s="170">
        <f>$B20*'Hypothèses de recrutement'!O35</f>
        <v>20880</v>
      </c>
      <c r="M20" s="170">
        <f>$B20*'Hypothèses de recrutement'!P35</f>
        <v>21054</v>
      </c>
    </row>
    <row r="21" spans="2:13" x14ac:dyDescent="0.45">
      <c r="B21" s="181">
        <v>0.5</v>
      </c>
      <c r="C21" s="187" t="str">
        <f>IF('Hypothèses de recrutement'!F37=17%,'Hypothèses de recrutement'!C37,"")</f>
        <v/>
      </c>
      <c r="D21" s="193">
        <f>$B21*'Hypothèses de recrutement'!G37</f>
        <v>0</v>
      </c>
      <c r="E21" s="169">
        <f>$B21*'Hypothèses de recrutement'!H37</f>
        <v>0</v>
      </c>
      <c r="F21" s="169">
        <f>$B21*'Hypothèses de recrutement'!I37</f>
        <v>0</v>
      </c>
      <c r="G21" s="169">
        <f>$B21*'Hypothèses de recrutement'!J37</f>
        <v>0</v>
      </c>
      <c r="H21" s="170">
        <f>$B21*'Hypothèses de recrutement'!K37</f>
        <v>0</v>
      </c>
      <c r="I21" s="170">
        <f>$B21*'Hypothèses de recrutement'!L37</f>
        <v>0</v>
      </c>
      <c r="J21" s="170">
        <f>$B21*'Hypothèses de recrutement'!M37</f>
        <v>0</v>
      </c>
      <c r="K21" s="170">
        <f>$B21*'Hypothèses de recrutement'!N37</f>
        <v>20884.5</v>
      </c>
      <c r="L21" s="170">
        <f>$B21*'Hypothèses de recrutement'!O37</f>
        <v>28080</v>
      </c>
      <c r="M21" s="170">
        <f>$B21*'Hypothèses de recrutement'!P37</f>
        <v>28314</v>
      </c>
    </row>
    <row r="22" spans="2:13" x14ac:dyDescent="0.45">
      <c r="B22" s="181">
        <v>0.5</v>
      </c>
      <c r="C22" s="187" t="str">
        <f>IF('Hypothèses de recrutement'!F38=17%,'Hypothèses de recrutement'!C38,"")</f>
        <v>Resp études transitions num. 2</v>
      </c>
      <c r="D22" s="193">
        <f>$B22*'Hypothèses de recrutement'!G38</f>
        <v>0</v>
      </c>
      <c r="E22" s="169">
        <f>$B22*'Hypothèses de recrutement'!H38</f>
        <v>0</v>
      </c>
      <c r="F22" s="169">
        <f>$B22*'Hypothèses de recrutement'!I38</f>
        <v>0</v>
      </c>
      <c r="G22" s="169">
        <f>$B22*'Hypothèses de recrutement'!J38</f>
        <v>0</v>
      </c>
      <c r="H22" s="170">
        <f>$B22*'Hypothèses de recrutement'!K38</f>
        <v>0</v>
      </c>
      <c r="I22" s="170">
        <f>$B22*'Hypothèses de recrutement'!L38</f>
        <v>0</v>
      </c>
      <c r="J22" s="170">
        <f>$B22*'Hypothèses de recrutement'!M38</f>
        <v>0</v>
      </c>
      <c r="K22" s="170">
        <f>$B22*'Hypothèses de recrutement'!N38</f>
        <v>0</v>
      </c>
      <c r="L22" s="170">
        <f>$B22*'Hypothèses de recrutement'!O38</f>
        <v>0</v>
      </c>
      <c r="M22" s="170">
        <f>$B22*'Hypothèses de recrutement'!P38</f>
        <v>20146.5</v>
      </c>
    </row>
    <row r="23" spans="2:13" ht="14.65" thickBot="1" x14ac:dyDescent="0.5">
      <c r="B23" s="188"/>
      <c r="C23" s="208" t="str">
        <f>IF('Hypothèses de recrutement'!F39=17%,'Hypothèses de recrutement'!C39,"")</f>
        <v/>
      </c>
      <c r="D23" s="194"/>
      <c r="E23" s="171"/>
      <c r="F23" s="171"/>
      <c r="G23" s="171"/>
      <c r="H23" s="172"/>
      <c r="I23" s="172"/>
      <c r="J23" s="172"/>
      <c r="K23" s="172"/>
      <c r="L23" s="172"/>
      <c r="M23" s="172"/>
    </row>
    <row r="24" spans="2:13" ht="14.65" thickBot="1" x14ac:dyDescent="0.5">
      <c r="B24" s="458" t="s">
        <v>176</v>
      </c>
      <c r="C24" s="459"/>
      <c r="D24" s="173">
        <f t="shared" ref="D24:M24" si="0">SUM(D4:D22)</f>
        <v>0</v>
      </c>
      <c r="E24" s="173">
        <f t="shared" si="0"/>
        <v>235828.8</v>
      </c>
      <c r="F24" s="173">
        <f t="shared" si="0"/>
        <v>495687.8</v>
      </c>
      <c r="G24" s="173">
        <f t="shared" si="0"/>
        <v>565448.4</v>
      </c>
      <c r="H24" s="174">
        <f t="shared" si="0"/>
        <v>618307.20000000007</v>
      </c>
      <c r="I24" s="174">
        <f t="shared" si="0"/>
        <v>683238</v>
      </c>
      <c r="J24" s="174">
        <f t="shared" si="0"/>
        <v>753597</v>
      </c>
      <c r="K24" s="174">
        <f t="shared" si="0"/>
        <v>809997.29999999993</v>
      </c>
      <c r="L24" s="174">
        <f t="shared" si="0"/>
        <v>823824</v>
      </c>
      <c r="M24" s="174">
        <f t="shared" si="0"/>
        <v>850835.70000000007</v>
      </c>
    </row>
    <row r="25" spans="2:13" x14ac:dyDescent="0.45">
      <c r="B25" s="200"/>
      <c r="C25" s="201" t="s">
        <v>177</v>
      </c>
      <c r="D25" s="198">
        <f t="shared" ref="D25:G25" si="1">17%*D24</f>
        <v>0</v>
      </c>
      <c r="E25" s="191">
        <f t="shared" si="1"/>
        <v>40090.896000000001</v>
      </c>
      <c r="F25" s="191">
        <f t="shared" si="1"/>
        <v>84266.926000000007</v>
      </c>
      <c r="G25" s="191">
        <f t="shared" si="1"/>
        <v>96126.228000000017</v>
      </c>
      <c r="H25" s="192">
        <f>40%*H24</f>
        <v>247322.88000000003</v>
      </c>
      <c r="I25" s="192">
        <f t="shared" ref="I25:M25" si="2">40%*I24</f>
        <v>273295.2</v>
      </c>
      <c r="J25" s="192">
        <f t="shared" si="2"/>
        <v>301438.8</v>
      </c>
      <c r="K25" s="192">
        <f t="shared" si="2"/>
        <v>323998.92</v>
      </c>
      <c r="L25" s="192">
        <f t="shared" si="2"/>
        <v>329529.60000000003</v>
      </c>
      <c r="M25" s="192">
        <f t="shared" si="2"/>
        <v>340334.28</v>
      </c>
    </row>
    <row r="26" spans="2:13" x14ac:dyDescent="0.45">
      <c r="B26" s="202"/>
      <c r="C26" s="203" t="s">
        <v>178</v>
      </c>
      <c r="D26" s="182">
        <f t="shared" ref="D26:M26" si="3">D24*43%</f>
        <v>0</v>
      </c>
      <c r="E26" s="169">
        <f t="shared" si="3"/>
        <v>101406.38399999999</v>
      </c>
      <c r="F26" s="169">
        <f t="shared" si="3"/>
        <v>213145.75399999999</v>
      </c>
      <c r="G26" s="169">
        <f t="shared" si="3"/>
        <v>243142.81200000001</v>
      </c>
      <c r="H26" s="170">
        <f t="shared" si="3"/>
        <v>265872.09600000002</v>
      </c>
      <c r="I26" s="170">
        <f t="shared" si="3"/>
        <v>293792.33999999997</v>
      </c>
      <c r="J26" s="170">
        <f t="shared" si="3"/>
        <v>324046.71000000002</v>
      </c>
      <c r="K26" s="170">
        <f t="shared" si="3"/>
        <v>348298.83899999998</v>
      </c>
      <c r="L26" s="170">
        <f t="shared" si="3"/>
        <v>354244.32</v>
      </c>
      <c r="M26" s="170">
        <f t="shared" si="3"/>
        <v>365859.35100000002</v>
      </c>
    </row>
    <row r="27" spans="2:13" x14ac:dyDescent="0.45">
      <c r="B27" s="460" t="s">
        <v>265</v>
      </c>
      <c r="C27" s="461"/>
      <c r="D27" s="189">
        <f t="shared" ref="D27:M27" si="4">D24+D25+D26</f>
        <v>0</v>
      </c>
      <c r="E27" s="175">
        <f t="shared" si="4"/>
        <v>377326.07999999996</v>
      </c>
      <c r="F27" s="175">
        <f t="shared" si="4"/>
        <v>793100.48</v>
      </c>
      <c r="G27" s="175">
        <f t="shared" si="4"/>
        <v>904717.44000000006</v>
      </c>
      <c r="H27" s="176">
        <f t="shared" si="4"/>
        <v>1131502.176</v>
      </c>
      <c r="I27" s="176">
        <f t="shared" si="4"/>
        <v>1250325.54</v>
      </c>
      <c r="J27" s="176">
        <f t="shared" si="4"/>
        <v>1379082.51</v>
      </c>
      <c r="K27" s="176">
        <f t="shared" si="4"/>
        <v>1482295.0589999999</v>
      </c>
      <c r="L27" s="176">
        <f t="shared" si="4"/>
        <v>1507597.9200000002</v>
      </c>
      <c r="M27" s="176">
        <f t="shared" si="4"/>
        <v>1557029.331</v>
      </c>
    </row>
    <row r="28" spans="2:13" ht="14.65" thickBot="1" x14ac:dyDescent="0.5">
      <c r="B28" s="204"/>
      <c r="C28" s="205" t="s">
        <v>179</v>
      </c>
      <c r="D28" s="199">
        <f>'Compte de résultat'!H15</f>
        <v>0</v>
      </c>
      <c r="E28" s="199">
        <v>500000</v>
      </c>
      <c r="F28" s="199"/>
      <c r="G28" s="171"/>
      <c r="H28" s="172"/>
      <c r="I28" s="172"/>
      <c r="J28" s="172"/>
      <c r="K28" s="172"/>
      <c r="L28" s="172"/>
      <c r="M28" s="172"/>
    </row>
    <row r="29" spans="2:13" ht="14.65" thickBot="1" x14ac:dyDescent="0.5">
      <c r="B29" s="462" t="s">
        <v>180</v>
      </c>
      <c r="C29" s="463"/>
      <c r="D29" s="173">
        <f>D24+D25+D26-D28</f>
        <v>0</v>
      </c>
      <c r="E29" s="173">
        <f t="shared" ref="E29:M29" si="5">IF(D29&lt;0,E24+E25+E26-E28+D29,E24+E25+E26-E28)</f>
        <v>-122673.92000000004</v>
      </c>
      <c r="F29" s="173">
        <f t="shared" si="5"/>
        <v>670426.55999999994</v>
      </c>
      <c r="G29" s="173">
        <f t="shared" si="5"/>
        <v>904717.44000000006</v>
      </c>
      <c r="H29" s="174">
        <f t="shared" si="5"/>
        <v>1131502.176</v>
      </c>
      <c r="I29" s="174">
        <f t="shared" si="5"/>
        <v>1250325.54</v>
      </c>
      <c r="J29" s="174">
        <f t="shared" si="5"/>
        <v>1379082.51</v>
      </c>
      <c r="K29" s="174">
        <f t="shared" si="5"/>
        <v>1482295.0589999999</v>
      </c>
      <c r="L29" s="174">
        <f t="shared" si="5"/>
        <v>1507597.9200000002</v>
      </c>
      <c r="M29" s="174">
        <f t="shared" si="5"/>
        <v>1557029.331</v>
      </c>
    </row>
    <row r="30" spans="2:13" ht="14.65" thickBot="1" x14ac:dyDescent="0.5">
      <c r="B30" s="206"/>
      <c r="C30" s="207"/>
      <c r="D30" s="196"/>
      <c r="E30" s="177"/>
      <c r="F30" s="177"/>
      <c r="G30" s="177"/>
      <c r="H30" s="178"/>
      <c r="I30" s="178"/>
      <c r="J30" s="178"/>
      <c r="K30" s="178"/>
      <c r="L30" s="178"/>
      <c r="M30" s="178"/>
    </row>
    <row r="31" spans="2:13" ht="14.65" thickBot="1" x14ac:dyDescent="0.5">
      <c r="B31" s="464" t="s">
        <v>181</v>
      </c>
      <c r="C31" s="465"/>
      <c r="D31" s="179">
        <f t="shared" ref="D31:M31" si="6">IF(D29&lt;0,0,D29*$B$1)</f>
        <v>0</v>
      </c>
      <c r="E31" s="179">
        <f t="shared" si="6"/>
        <v>0</v>
      </c>
      <c r="F31" s="179">
        <f t="shared" si="6"/>
        <v>201127.96799999996</v>
      </c>
      <c r="G31" s="179">
        <f t="shared" si="6"/>
        <v>271415.23200000002</v>
      </c>
      <c r="H31" s="180">
        <f>IF(H29&lt;0,0,H29*$B$1)</f>
        <v>339450.65279999998</v>
      </c>
      <c r="I31" s="180">
        <f t="shared" si="6"/>
        <v>375097.66200000001</v>
      </c>
      <c r="J31" s="180">
        <f t="shared" si="6"/>
        <v>413724.75299999997</v>
      </c>
      <c r="K31" s="180">
        <f t="shared" si="6"/>
        <v>444688.51769999997</v>
      </c>
      <c r="L31" s="180">
        <f t="shared" si="6"/>
        <v>452279.37600000005</v>
      </c>
      <c r="M31" s="180">
        <f t="shared" si="6"/>
        <v>467108.79930000001</v>
      </c>
    </row>
    <row r="32" spans="2:13" x14ac:dyDescent="0.45">
      <c r="C32" s="166" t="s">
        <v>266</v>
      </c>
      <c r="D32" s="76">
        <v>1</v>
      </c>
      <c r="E32" s="76">
        <v>0.6</v>
      </c>
      <c r="F32" s="76">
        <v>0.4</v>
      </c>
      <c r="G32" s="76">
        <v>0.3</v>
      </c>
      <c r="H32" s="76">
        <v>0.2</v>
      </c>
      <c r="I32" s="76">
        <v>0.2</v>
      </c>
      <c r="J32" s="76">
        <v>0.2</v>
      </c>
      <c r="K32" s="76">
        <v>0.2</v>
      </c>
      <c r="L32" s="76">
        <v>0.2</v>
      </c>
      <c r="M32" s="76">
        <v>0.2</v>
      </c>
    </row>
    <row r="33" spans="3:3" x14ac:dyDescent="0.45">
      <c r="C33" s="166" t="s">
        <v>267</v>
      </c>
    </row>
  </sheetData>
  <mergeCells count="4">
    <mergeCell ref="B24:C24"/>
    <mergeCell ref="B27:C27"/>
    <mergeCell ref="B29:C29"/>
    <mergeCell ref="B31:C31"/>
  </mergeCells>
  <phoneticPr fontId="2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26697-AA42-4A09-A10C-4ADFD035A770}">
  <dimension ref="B3:Q38"/>
  <sheetViews>
    <sheetView showGridLines="0" zoomScale="85" zoomScaleNormal="90" workbookViewId="0">
      <selection activeCell="J4" sqref="J4"/>
    </sheetView>
  </sheetViews>
  <sheetFormatPr baseColWidth="10" defaultRowHeight="14.25" x14ac:dyDescent="0.45"/>
  <cols>
    <col min="4" max="4" width="40.53125" bestFit="1" customWidth="1"/>
    <col min="5" max="6" width="13.33203125" bestFit="1" customWidth="1"/>
    <col min="7" max="9" width="14.46484375" bestFit="1" customWidth="1"/>
  </cols>
  <sheetData>
    <row r="3" spans="2:16" x14ac:dyDescent="0.45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2:16" ht="14.65" thickBot="1" x14ac:dyDescent="0.5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2:16" ht="14.65" thickBot="1" x14ac:dyDescent="0.5">
      <c r="B5" s="219"/>
      <c r="C5" s="219"/>
      <c r="D5" s="314" t="s">
        <v>62</v>
      </c>
      <c r="E5" s="222" t="s">
        <v>212</v>
      </c>
      <c r="F5" s="222" t="s">
        <v>213</v>
      </c>
      <c r="G5" s="222" t="s">
        <v>214</v>
      </c>
      <c r="H5" s="222" t="s">
        <v>215</v>
      </c>
      <c r="I5" s="222" t="s">
        <v>216</v>
      </c>
      <c r="J5" s="222" t="s">
        <v>244</v>
      </c>
      <c r="K5" s="222" t="s">
        <v>245</v>
      </c>
      <c r="L5" s="222" t="s">
        <v>246</v>
      </c>
      <c r="M5" s="222" t="s">
        <v>247</v>
      </c>
      <c r="N5" s="223" t="s">
        <v>248</v>
      </c>
      <c r="O5" s="219"/>
      <c r="P5" s="219"/>
    </row>
    <row r="6" spans="2:16" ht="14.65" thickBot="1" x14ac:dyDescent="0.5">
      <c r="B6" s="219"/>
      <c r="C6" s="219"/>
      <c r="D6" s="304" t="s">
        <v>197</v>
      </c>
      <c r="E6" s="305">
        <f>'Compte de résultat'!H126</f>
        <v>-41563.866666666669</v>
      </c>
      <c r="F6" s="305">
        <f>'Compte de résultat'!I126</f>
        <v>-401662.78516666661</v>
      </c>
      <c r="G6" s="305">
        <f>'Compte de résultat'!J126</f>
        <v>-81629.88160000011</v>
      </c>
      <c r="H6" s="305">
        <f>'Compte de résultat'!K126</f>
        <v>1475007.0209309333</v>
      </c>
      <c r="I6" s="305">
        <f>'Compte de résultat'!L126</f>
        <v>3069117.8565196772</v>
      </c>
      <c r="J6" s="305">
        <f>'Compte de résultat'!M126</f>
        <v>5848948.3327305149</v>
      </c>
      <c r="K6" s="305">
        <f>'Compte de résultat'!N126</f>
        <v>8306500.4010046488</v>
      </c>
      <c r="L6" s="305">
        <f>'Compte de résultat'!O126</f>
        <v>10518651.106306339</v>
      </c>
      <c r="M6" s="305">
        <f>'Compte de résultat'!P126</f>
        <v>11727311.553735616</v>
      </c>
      <c r="N6" s="310">
        <f>'Compte de résultat'!Q126</f>
        <v>12188848.880569156</v>
      </c>
      <c r="O6" s="219"/>
      <c r="P6" s="219"/>
    </row>
    <row r="7" spans="2:16" x14ac:dyDescent="0.45">
      <c r="B7" s="219"/>
      <c r="C7" s="219"/>
      <c r="D7" s="224"/>
      <c r="E7" s="225"/>
      <c r="F7" s="225"/>
      <c r="G7" s="225"/>
      <c r="H7" s="225"/>
      <c r="I7" s="225"/>
      <c r="J7" s="225"/>
      <c r="K7" s="225"/>
      <c r="L7" s="225"/>
      <c r="M7" s="225"/>
      <c r="N7" s="226"/>
      <c r="O7" s="219"/>
      <c r="P7" s="219"/>
    </row>
    <row r="8" spans="2:16" x14ac:dyDescent="0.45">
      <c r="B8" s="219"/>
      <c r="C8" s="219"/>
      <c r="D8" s="227" t="s">
        <v>198</v>
      </c>
      <c r="E8" s="229">
        <f>'Compte de résultat'!H110</f>
        <v>39163.866666666669</v>
      </c>
      <c r="F8" s="229">
        <f>'Compte de résultat'!I110</f>
        <v>161164.42666666667</v>
      </c>
      <c r="G8" s="229">
        <f>'Compte de résultat'!J110</f>
        <v>200424.29440000001</v>
      </c>
      <c r="H8" s="229">
        <f>'Compte de résultat'!K110</f>
        <v>294651.29312000005</v>
      </c>
      <c r="I8" s="229">
        <f>'Compte de résultat'!L110</f>
        <v>405428.82209599996</v>
      </c>
      <c r="J8" s="229">
        <f>'Compte de résultat'!M110</f>
        <v>548816.38625680003</v>
      </c>
      <c r="K8" s="229">
        <f>'Compte de résultat'!N110</f>
        <v>685105.75730884005</v>
      </c>
      <c r="L8" s="229">
        <f>'Compte de résultat'!O110</f>
        <v>815991.94855729002</v>
      </c>
      <c r="M8" s="229">
        <f>'Compte de résultat'!P110</f>
        <v>938358.73858544184</v>
      </c>
      <c r="N8" s="230">
        <f>'Compte de résultat'!Q110</f>
        <v>1043339.1714595024</v>
      </c>
      <c r="O8" s="219"/>
      <c r="P8" s="219"/>
    </row>
    <row r="9" spans="2:16" x14ac:dyDescent="0.45">
      <c r="B9" s="219"/>
      <c r="C9" s="219"/>
      <c r="D9" s="227" t="s">
        <v>199</v>
      </c>
      <c r="E9" s="229">
        <f>'Compte de résultat'!H14</f>
        <v>0</v>
      </c>
      <c r="F9" s="229">
        <f>'Compte de résultat'!I14</f>
        <v>150930.432</v>
      </c>
      <c r="G9" s="229">
        <f>'Compte de résultat'!J14</f>
        <v>475860.28799999994</v>
      </c>
      <c r="H9" s="229">
        <f>'Compte de résultat'!K14</f>
        <v>633302.20799999998</v>
      </c>
      <c r="I9" s="229">
        <f>'Compte de résultat'!L14</f>
        <v>905201.74080000003</v>
      </c>
      <c r="J9" s="229">
        <f>'Compte de résultat'!M14</f>
        <v>1000260.432</v>
      </c>
      <c r="K9" s="229">
        <f>'Compte de résultat'!N14</f>
        <v>1103266.0080000001</v>
      </c>
      <c r="L9" s="229">
        <f>'Compte de résultat'!O14</f>
        <v>1185836.0471999999</v>
      </c>
      <c r="M9" s="229">
        <f>'Compte de résultat'!P14</f>
        <v>1206078.3360000001</v>
      </c>
      <c r="N9" s="230">
        <f>'Compte de résultat'!Q14</f>
        <v>1245623.4648</v>
      </c>
      <c r="O9" s="219"/>
      <c r="P9" s="219"/>
    </row>
    <row r="10" spans="2:16" ht="14.65" thickBot="1" x14ac:dyDescent="0.5">
      <c r="B10" s="219"/>
      <c r="C10" s="219"/>
      <c r="D10" s="231"/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219"/>
      <c r="P10" s="219"/>
    </row>
    <row r="11" spans="2:16" ht="14.65" thickBot="1" x14ac:dyDescent="0.5">
      <c r="B11" s="219"/>
      <c r="C11" s="219"/>
      <c r="D11" s="234" t="s">
        <v>200</v>
      </c>
      <c r="E11" s="306">
        <f t="shared" ref="E11:N11" si="0">E6+E8-E9</f>
        <v>-2400</v>
      </c>
      <c r="F11" s="306">
        <f t="shared" si="0"/>
        <v>-391428.79049999994</v>
      </c>
      <c r="G11" s="306">
        <f t="shared" si="0"/>
        <v>-357065.87520000001</v>
      </c>
      <c r="H11" s="306">
        <f t="shared" si="0"/>
        <v>1136356.1060509332</v>
      </c>
      <c r="I11" s="306">
        <f t="shared" si="0"/>
        <v>2569344.9378156774</v>
      </c>
      <c r="J11" s="306">
        <f t="shared" si="0"/>
        <v>5397504.2869873149</v>
      </c>
      <c r="K11" s="306">
        <f t="shared" si="0"/>
        <v>7888340.1503134882</v>
      </c>
      <c r="L11" s="306">
        <f t="shared" si="0"/>
        <v>10148807.007663628</v>
      </c>
      <c r="M11" s="306">
        <f t="shared" si="0"/>
        <v>11459591.956321057</v>
      </c>
      <c r="N11" s="311">
        <f t="shared" si="0"/>
        <v>11986564.587228658</v>
      </c>
      <c r="O11" s="219"/>
      <c r="P11" s="219"/>
    </row>
    <row r="12" spans="2:16" x14ac:dyDescent="0.45">
      <c r="B12" s="219"/>
      <c r="C12" s="219"/>
      <c r="D12" s="224"/>
      <c r="E12" s="236"/>
      <c r="F12" s="236"/>
      <c r="G12" s="236"/>
      <c r="H12" s="236"/>
      <c r="I12" s="236"/>
      <c r="J12" s="236"/>
      <c r="K12" s="236"/>
      <c r="L12" s="236"/>
      <c r="M12" s="236"/>
      <c r="N12" s="237"/>
      <c r="O12" s="219"/>
      <c r="P12" s="219"/>
    </row>
    <row r="13" spans="2:16" x14ac:dyDescent="0.45">
      <c r="B13" s="219"/>
      <c r="C13" s="219"/>
      <c r="D13" s="227" t="s">
        <v>201</v>
      </c>
      <c r="E13" s="228">
        <f>'Balance Sheet'!I74-'Balance Sheet'!H74</f>
        <v>92.730000000000018</v>
      </c>
      <c r="F13" s="228">
        <f>'Balance Sheet'!J74-'Balance Sheet'!I74</f>
        <v>-55237.044999999984</v>
      </c>
      <c r="G13" s="228">
        <f>'Balance Sheet'!K74-'Balance Sheet'!J74</f>
        <v>134289.58633333325</v>
      </c>
      <c r="H13" s="228">
        <f>'Balance Sheet'!L74-'Balance Sheet'!K74</f>
        <v>-275949.59813795553</v>
      </c>
      <c r="I13" s="228">
        <f>'Balance Sheet'!M74-'Balance Sheet'!L74</f>
        <v>-874057.09184191911</v>
      </c>
      <c r="J13" s="228">
        <f>'Balance Sheet'!N74-'Balance Sheet'!M74</f>
        <v>-1147647.8057486592</v>
      </c>
      <c r="K13" s="228">
        <f>'Balance Sheet'!O74-'Balance Sheet'!N74</f>
        <v>-996525.35016216384</v>
      </c>
      <c r="L13" s="228">
        <f>'Balance Sheet'!P74-'Balance Sheet'!O74</f>
        <v>-906093.44553398946</v>
      </c>
      <c r="M13" s="228">
        <f>'Balance Sheet'!Q74-'Balance Sheet'!P74</f>
        <v>-496482.5985836084</v>
      </c>
      <c r="N13" s="248">
        <f>'Balance Sheet'!R74-'Balance Sheet'!Q74</f>
        <v>-180946.86696304474</v>
      </c>
      <c r="O13" s="219"/>
      <c r="P13" s="219"/>
    </row>
    <row r="14" spans="2:16" ht="14.65" thickBot="1" x14ac:dyDescent="0.5">
      <c r="B14" s="219"/>
      <c r="C14" s="219"/>
      <c r="D14" s="231"/>
      <c r="E14" s="240"/>
      <c r="F14" s="240"/>
      <c r="G14" s="240"/>
      <c r="H14" s="240"/>
      <c r="I14" s="240"/>
      <c r="J14" s="240"/>
      <c r="K14" s="240"/>
      <c r="L14" s="240"/>
      <c r="M14" s="240"/>
      <c r="N14" s="241"/>
      <c r="O14" s="219"/>
      <c r="P14" s="219"/>
    </row>
    <row r="15" spans="2:16" ht="14.65" thickBot="1" x14ac:dyDescent="0.5">
      <c r="B15" s="219"/>
      <c r="C15" s="219"/>
      <c r="D15" s="249" t="s">
        <v>202</v>
      </c>
      <c r="E15" s="307">
        <f t="shared" ref="E15:N15" si="1">E11-E13</f>
        <v>-2492.73</v>
      </c>
      <c r="F15" s="307">
        <f t="shared" si="1"/>
        <v>-336191.74549999996</v>
      </c>
      <c r="G15" s="307">
        <f t="shared" si="1"/>
        <v>-491355.46153333329</v>
      </c>
      <c r="H15" s="307">
        <f t="shared" si="1"/>
        <v>1412305.7041888889</v>
      </c>
      <c r="I15" s="307">
        <f t="shared" si="1"/>
        <v>3443402.0296575967</v>
      </c>
      <c r="J15" s="307">
        <f t="shared" si="1"/>
        <v>6545152.0927359741</v>
      </c>
      <c r="K15" s="307">
        <f t="shared" si="1"/>
        <v>8884865.5004756525</v>
      </c>
      <c r="L15" s="307">
        <f t="shared" si="1"/>
        <v>11054900.453197617</v>
      </c>
      <c r="M15" s="307">
        <f t="shared" si="1"/>
        <v>11956074.554904666</v>
      </c>
      <c r="N15" s="312">
        <f t="shared" si="1"/>
        <v>12167511.454191703</v>
      </c>
      <c r="O15" s="219"/>
      <c r="P15" s="219"/>
    </row>
    <row r="16" spans="2:16" x14ac:dyDescent="0.45">
      <c r="B16" s="219"/>
      <c r="C16" s="219"/>
      <c r="D16" s="224"/>
      <c r="E16" s="236"/>
      <c r="F16" s="236"/>
      <c r="G16" s="236"/>
      <c r="H16" s="236"/>
      <c r="I16" s="236"/>
      <c r="J16" s="236"/>
      <c r="K16" s="236"/>
      <c r="L16" s="236"/>
      <c r="M16" s="236"/>
      <c r="N16" s="237"/>
      <c r="O16" s="219"/>
      <c r="P16" s="219"/>
    </row>
    <row r="17" spans="2:17" x14ac:dyDescent="0.45">
      <c r="B17" s="219"/>
      <c r="C17" s="219"/>
      <c r="D17" s="227" t="s">
        <v>221</v>
      </c>
      <c r="E17" s="229">
        <f>'Balance Sheet'!I8-'Balance Sheet'!H8+'Balance Sheet'!I9-'Balance Sheet'!H9+'Balance Sheet'!I10-'Balance Sheet'!H10</f>
        <v>50000</v>
      </c>
      <c r="F17" s="229">
        <f>'Balance Sheet'!J8-'Balance Sheet'!I8+'Balance Sheet'!J9-'Balance Sheet'!I9+'Balance Sheet'!J10-'Balance Sheet'!I10</f>
        <v>351000</v>
      </c>
      <c r="G17" s="229">
        <f>'Balance Sheet'!K8-'Balance Sheet'!J8+'Balance Sheet'!K9-'Balance Sheet'!J9+'Balance Sheet'!K10-'Balance Sheet'!J10</f>
        <v>18520</v>
      </c>
      <c r="H17" s="229">
        <f>'Balance Sheet'!L8-'Balance Sheet'!K8+'Balance Sheet'!L9-'Balance Sheet'!K9+'Balance Sheet'!L10-'Balance Sheet'!K10</f>
        <v>19415.399999999994</v>
      </c>
      <c r="I17" s="229">
        <f>'Balance Sheet'!M8-'Balance Sheet'!L8+'Balance Sheet'!M9-'Balance Sheet'!L9+'Balance Sheet'!M10-'Balance Sheet'!L10</f>
        <v>20354.958000000071</v>
      </c>
      <c r="J17" s="229">
        <f>'Balance Sheet'!N8-'Balance Sheet'!M8+'Balance Sheet'!N9-'Balance Sheet'!M9+'Balance Sheet'!N10-'Balance Sheet'!M10</f>
        <v>21340.869659999938</v>
      </c>
      <c r="K17" s="229">
        <f>'Balance Sheet'!O8-'Balance Sheet'!N8+'Balance Sheet'!O9-'Balance Sheet'!N9+'Balance Sheet'!O10-'Balance Sheet'!N10</f>
        <v>22375.44017820005</v>
      </c>
      <c r="L17" s="229">
        <f>'Balance Sheet'!P8-'Balance Sheet'!O8+'Balance Sheet'!P9-'Balance Sheet'!O9+'Balance Sheet'!P10-'Balance Sheet'!O10</f>
        <v>23461.089763013908</v>
      </c>
      <c r="M17" s="229">
        <f>'Balance Sheet'!Q8-'Balance Sheet'!P8+'Balance Sheet'!Q9-'Balance Sheet'!P9+'Balance Sheet'!Q10-'Balance Sheet'!P10</f>
        <v>24600.359378586872</v>
      </c>
      <c r="N17" s="230">
        <f>'Balance Sheet'!R8-'Balance Sheet'!Q8+'Balance Sheet'!R9-'Balance Sheet'!Q9+'Balance Sheet'!R10-'Balance Sheet'!Q10</f>
        <v>25795.916777486535</v>
      </c>
      <c r="O17" s="219"/>
      <c r="P17" s="219"/>
    </row>
    <row r="18" spans="2:17" x14ac:dyDescent="0.45">
      <c r="B18" s="219"/>
      <c r="C18" s="219"/>
      <c r="D18" s="227" t="s">
        <v>218</v>
      </c>
      <c r="E18" s="229">
        <f>'Compte de résultat'!H107</f>
        <v>16666.666666666668</v>
      </c>
      <c r="F18" s="229">
        <f>'Compte de résultat'!I107</f>
        <v>133666.66666666666</v>
      </c>
      <c r="G18" s="229">
        <f>'Compte de résultat'!J107</f>
        <v>139840</v>
      </c>
      <c r="H18" s="229">
        <f>'Compte de résultat'!K107</f>
        <v>146311.80000000002</v>
      </c>
      <c r="I18" s="229">
        <f>'Compte de résultat'!L107</f>
        <v>153096.78599999999</v>
      </c>
      <c r="J18" s="229">
        <f>'Compte de résultat'!M107</f>
        <v>160210.40922</v>
      </c>
      <c r="K18" s="229">
        <f>'Compte de résultat'!N107</f>
        <v>167668.88927940006</v>
      </c>
      <c r="L18" s="229">
        <f>'Compte de résultat'!O107</f>
        <v>175489.25253373798</v>
      </c>
      <c r="M18" s="229">
        <f>'Compte de résultat'!P107</f>
        <v>183689.37232660028</v>
      </c>
      <c r="N18" s="230">
        <f>'Compte de résultat'!Q107</f>
        <v>192288.01125242913</v>
      </c>
      <c r="O18" s="219"/>
      <c r="P18" s="219"/>
    </row>
    <row r="19" spans="2:17" x14ac:dyDescent="0.45">
      <c r="B19" s="219"/>
      <c r="C19" s="219"/>
      <c r="D19" s="227" t="s">
        <v>219</v>
      </c>
      <c r="E19" s="229">
        <f>'Balance Sheet'!I12-'Balance Sheet'!H12</f>
        <v>0</v>
      </c>
      <c r="F19" s="229">
        <f>'Balance Sheet'!J12-'Balance Sheet'!I12</f>
        <v>47500</v>
      </c>
      <c r="G19" s="229">
        <f>'Balance Sheet'!K12-'Balance Sheet'!J12</f>
        <v>32500</v>
      </c>
      <c r="H19" s="229">
        <f>'Balance Sheet'!L12-'Balance Sheet'!K12</f>
        <v>7500</v>
      </c>
      <c r="I19" s="229">
        <f>'Balance Sheet'!M12-'Balance Sheet'!L12</f>
        <v>17500</v>
      </c>
      <c r="J19" s="229">
        <f>'Balance Sheet'!N12-'Balance Sheet'!M12</f>
        <v>7500</v>
      </c>
      <c r="K19" s="229">
        <f>'Balance Sheet'!O12-'Balance Sheet'!N12</f>
        <v>10000</v>
      </c>
      <c r="L19" s="229">
        <f>'Balance Sheet'!P12-'Balance Sheet'!O12</f>
        <v>5000</v>
      </c>
      <c r="M19" s="229">
        <f>'Balance Sheet'!Q12-'Balance Sheet'!P12</f>
        <v>0</v>
      </c>
      <c r="N19" s="230">
        <f>'Balance Sheet'!R12-'Balance Sheet'!Q12</f>
        <v>5000</v>
      </c>
      <c r="O19" s="219"/>
      <c r="P19" s="219"/>
      <c r="Q19" s="219"/>
    </row>
    <row r="20" spans="2:17" x14ac:dyDescent="0.45">
      <c r="B20" s="219"/>
      <c r="C20" s="219"/>
      <c r="D20" s="231" t="s">
        <v>217</v>
      </c>
      <c r="E20" s="232">
        <f>'Compte de résultat'!H108</f>
        <v>0</v>
      </c>
      <c r="F20" s="232">
        <f>'Compte de résultat'!I108</f>
        <v>9500</v>
      </c>
      <c r="G20" s="232">
        <f>'Compte de résultat'!J108</f>
        <v>16000</v>
      </c>
      <c r="H20" s="232">
        <f>'Compte de résultat'!K108</f>
        <v>17500</v>
      </c>
      <c r="I20" s="232">
        <f>'Compte de résultat'!L108</f>
        <v>21000</v>
      </c>
      <c r="J20" s="232">
        <f>'Compte de résultat'!M108</f>
        <v>22500</v>
      </c>
      <c r="K20" s="232">
        <f>'Compte de résultat'!N108</f>
        <v>24500</v>
      </c>
      <c r="L20" s="232">
        <f>'Compte de résultat'!O108</f>
        <v>25500</v>
      </c>
      <c r="M20" s="232">
        <f>'Compte de résultat'!P108</f>
        <v>25500</v>
      </c>
      <c r="N20" s="233">
        <f>'Compte de résultat'!Q108</f>
        <v>26500</v>
      </c>
      <c r="O20" s="219"/>
      <c r="P20" s="219"/>
      <c r="Q20" s="219"/>
    </row>
    <row r="21" spans="2:17" x14ac:dyDescent="0.45">
      <c r="B21" s="219"/>
      <c r="C21" s="219"/>
      <c r="D21" s="231" t="s">
        <v>220</v>
      </c>
      <c r="E21" s="232">
        <f>'Balance Sheet'!I16-'Balance Sheet'!H16</f>
        <v>7500</v>
      </c>
      <c r="F21" s="232">
        <f>'Balance Sheet'!J16-'Balance Sheet'!I16</f>
        <v>3000</v>
      </c>
      <c r="G21" s="232">
        <f>'Balance Sheet'!K16-'Balance Sheet'!J16</f>
        <v>4500</v>
      </c>
      <c r="H21" s="232">
        <f>'Balance Sheet'!L16-'Balance Sheet'!K16</f>
        <v>0</v>
      </c>
      <c r="I21" s="232">
        <f>'Balance Sheet'!M16-'Balance Sheet'!L16</f>
        <v>0</v>
      </c>
      <c r="J21" s="232">
        <f>'Balance Sheet'!N16-'Balance Sheet'!M16</f>
        <v>0</v>
      </c>
      <c r="K21" s="232">
        <f>'Balance Sheet'!O16-'Balance Sheet'!N16</f>
        <v>0</v>
      </c>
      <c r="L21" s="232">
        <f>'Balance Sheet'!P16-'Balance Sheet'!O16</f>
        <v>0</v>
      </c>
      <c r="M21" s="232">
        <f>'Balance Sheet'!Q16-'Balance Sheet'!P16</f>
        <v>0</v>
      </c>
      <c r="N21" s="233">
        <f>'Balance Sheet'!R16-'Balance Sheet'!Q16</f>
        <v>0</v>
      </c>
      <c r="O21" s="219"/>
      <c r="P21" s="219"/>
      <c r="Q21" s="219"/>
    </row>
    <row r="22" spans="2:17" ht="14.65" thickBot="1" x14ac:dyDescent="0.5">
      <c r="B22" s="219"/>
      <c r="C22" s="219"/>
      <c r="D22" s="231"/>
      <c r="E22" s="240"/>
      <c r="F22" s="240"/>
      <c r="G22" s="240"/>
      <c r="H22" s="240"/>
      <c r="I22" s="240"/>
      <c r="J22" s="240"/>
      <c r="K22" s="240"/>
      <c r="L22" s="240"/>
      <c r="M22" s="240"/>
      <c r="N22" s="241"/>
      <c r="O22" s="219"/>
      <c r="P22" s="219"/>
    </row>
    <row r="23" spans="2:17" ht="14.65" thickBot="1" x14ac:dyDescent="0.5">
      <c r="B23" s="219"/>
      <c r="C23" s="219"/>
      <c r="D23" s="234" t="s">
        <v>203</v>
      </c>
      <c r="E23" s="306">
        <f>-SUM(E17:E21)</f>
        <v>-74166.666666666672</v>
      </c>
      <c r="F23" s="306">
        <f t="shared" ref="F23:N23" si="2">-SUM(F17:F21)</f>
        <v>-544666.66666666663</v>
      </c>
      <c r="G23" s="306">
        <f t="shared" si="2"/>
        <v>-211360</v>
      </c>
      <c r="H23" s="306">
        <f t="shared" si="2"/>
        <v>-190727.2</v>
      </c>
      <c r="I23" s="306">
        <f t="shared" si="2"/>
        <v>-211951.74400000006</v>
      </c>
      <c r="J23" s="306">
        <f t="shared" si="2"/>
        <v>-211551.27887999994</v>
      </c>
      <c r="K23" s="306">
        <f t="shared" si="2"/>
        <v>-224544.32945760011</v>
      </c>
      <c r="L23" s="306">
        <f t="shared" si="2"/>
        <v>-229450.34229675189</v>
      </c>
      <c r="M23" s="306">
        <f t="shared" si="2"/>
        <v>-233789.73170518715</v>
      </c>
      <c r="N23" s="311">
        <f t="shared" si="2"/>
        <v>-249583.92802991567</v>
      </c>
      <c r="O23" s="219"/>
      <c r="P23" s="219"/>
    </row>
    <row r="24" spans="2:17" ht="14.65" thickBot="1" x14ac:dyDescent="0.5">
      <c r="B24" s="219"/>
      <c r="C24" s="219"/>
      <c r="D24" s="231"/>
      <c r="E24" s="232"/>
      <c r="F24" s="232"/>
      <c r="G24" s="232"/>
      <c r="H24" s="232"/>
      <c r="I24" s="232"/>
      <c r="J24" s="232"/>
      <c r="K24" s="232"/>
      <c r="L24" s="232"/>
      <c r="M24" s="232"/>
      <c r="N24" s="233"/>
      <c r="O24" s="219"/>
      <c r="P24" s="219"/>
    </row>
    <row r="25" spans="2:17" ht="14.65" thickBot="1" x14ac:dyDescent="0.5">
      <c r="B25" s="219"/>
      <c r="C25" s="219"/>
      <c r="D25" s="249" t="s">
        <v>204</v>
      </c>
      <c r="E25" s="307">
        <f t="shared" ref="E25:N25" si="3">E15+E23</f>
        <v>-76659.396666666667</v>
      </c>
      <c r="F25" s="307">
        <f t="shared" si="3"/>
        <v>-880858.41216666659</v>
      </c>
      <c r="G25" s="307">
        <f t="shared" si="3"/>
        <v>-702715.46153333329</v>
      </c>
      <c r="H25" s="307">
        <f t="shared" si="3"/>
        <v>1221578.5041888889</v>
      </c>
      <c r="I25" s="307">
        <f t="shared" si="3"/>
        <v>3231450.2856575968</v>
      </c>
      <c r="J25" s="307">
        <f t="shared" si="3"/>
        <v>6333600.813855974</v>
      </c>
      <c r="K25" s="307">
        <f t="shared" si="3"/>
        <v>8660321.1710180528</v>
      </c>
      <c r="L25" s="307">
        <f t="shared" si="3"/>
        <v>10825450.110900866</v>
      </c>
      <c r="M25" s="307">
        <f t="shared" si="3"/>
        <v>11722284.823199479</v>
      </c>
      <c r="N25" s="312">
        <f t="shared" si="3"/>
        <v>11917927.526161788</v>
      </c>
      <c r="O25" s="219"/>
      <c r="P25" s="219"/>
    </row>
    <row r="26" spans="2:17" x14ac:dyDescent="0.45">
      <c r="B26" s="219"/>
      <c r="C26" s="219"/>
      <c r="D26" s="224"/>
      <c r="E26" s="235"/>
      <c r="F26" s="236"/>
      <c r="G26" s="236"/>
      <c r="H26" s="236"/>
      <c r="I26" s="236"/>
      <c r="J26" s="236"/>
      <c r="K26" s="236"/>
      <c r="L26" s="236"/>
      <c r="M26" s="236"/>
      <c r="N26" s="237"/>
      <c r="O26" s="219"/>
      <c r="P26" s="219"/>
    </row>
    <row r="27" spans="2:17" x14ac:dyDescent="0.45">
      <c r="B27" s="219"/>
      <c r="C27" s="219"/>
      <c r="D27" s="227" t="s">
        <v>205</v>
      </c>
      <c r="E27" s="238">
        <f>'Hypothèses de financement'!E5</f>
        <v>2000000</v>
      </c>
      <c r="F27" s="229"/>
      <c r="G27" s="229"/>
      <c r="H27" s="229"/>
      <c r="I27" s="229"/>
      <c r="J27" s="229"/>
      <c r="K27" s="229"/>
      <c r="L27" s="229"/>
      <c r="M27" s="229"/>
      <c r="N27" s="230"/>
      <c r="O27" s="219"/>
      <c r="P27" s="219"/>
    </row>
    <row r="28" spans="2:17" x14ac:dyDescent="0.45">
      <c r="B28" s="219"/>
      <c r="C28" s="219"/>
      <c r="D28" s="227" t="s">
        <v>206</v>
      </c>
      <c r="E28" s="238">
        <f>'Balance Sheet'!I59+'Balance Sheet'!I61-'Balance Sheet'!H59-'Balance Sheet'!H61</f>
        <v>0</v>
      </c>
      <c r="F28" s="228">
        <f>'Balance Sheet'!J59+'Balance Sheet'!J61-'Balance Sheet'!I59-'Balance Sheet'!I61</f>
        <v>250000</v>
      </c>
      <c r="G28" s="228">
        <f>'Balance Sheet'!K59+'Balance Sheet'!K61-'Balance Sheet'!J59-'Balance Sheet'!J61</f>
        <v>0</v>
      </c>
      <c r="H28" s="228">
        <f>'Balance Sheet'!L59+'Balance Sheet'!L61-'Balance Sheet'!K59-'Balance Sheet'!K61</f>
        <v>-49900.054195567121</v>
      </c>
      <c r="I28" s="228">
        <f>'Balance Sheet'!M59+'Balance Sheet'!M61-'Balance Sheet'!L59-'Balance Sheet'!L61</f>
        <v>-49949.977126975107</v>
      </c>
      <c r="J28" s="228">
        <f>'Balance Sheet'!N59+'Balance Sheet'!N61-'Balance Sheet'!M59-'Balance Sheet'!M61</f>
        <v>-49999.950004202154</v>
      </c>
      <c r="K28" s="228">
        <f>'Balance Sheet'!O59+'Balance Sheet'!O61-'Balance Sheet'!N59-'Balance Sheet'!N61</f>
        <v>-50049.972877217042</v>
      </c>
      <c r="L28" s="228">
        <f>'Balance Sheet'!P59+'Balance Sheet'!P61-'Balance Sheet'!O59-'Balance Sheet'!O61</f>
        <v>-50100.045796038467</v>
      </c>
      <c r="M28" s="228">
        <f>'Balance Sheet'!Q59+'Balance Sheet'!Q61-'Balance Sheet'!P59-'Balance Sheet'!P61</f>
        <v>-1.064108801074326E-10</v>
      </c>
      <c r="N28" s="248">
        <f>'Balance Sheet'!R59+'Balance Sheet'!R61-'Balance Sheet'!Q59-'Balance Sheet'!Q61</f>
        <v>0</v>
      </c>
      <c r="O28" s="219"/>
      <c r="P28" s="219"/>
    </row>
    <row r="29" spans="2:17" x14ac:dyDescent="0.45">
      <c r="B29" s="219"/>
      <c r="C29" s="219"/>
      <c r="D29" s="227"/>
      <c r="E29" s="238"/>
      <c r="F29" s="229"/>
      <c r="G29" s="229"/>
      <c r="H29" s="229"/>
      <c r="I29" s="229"/>
      <c r="J29" s="229"/>
      <c r="K29" s="229"/>
      <c r="L29" s="229"/>
      <c r="M29" s="229"/>
      <c r="N29" s="230"/>
      <c r="O29" s="219"/>
      <c r="P29" s="219"/>
    </row>
    <row r="30" spans="2:17" ht="14.65" thickBot="1" x14ac:dyDescent="0.5">
      <c r="B30" s="219"/>
      <c r="C30" s="219"/>
      <c r="D30" s="231"/>
      <c r="E30" s="239"/>
      <c r="F30" s="240"/>
      <c r="G30" s="240"/>
      <c r="H30" s="240"/>
      <c r="I30" s="240"/>
      <c r="J30" s="240"/>
      <c r="K30" s="240"/>
      <c r="L30" s="240"/>
      <c r="M30" s="240"/>
      <c r="N30" s="241"/>
      <c r="O30" s="219"/>
      <c r="P30" s="219"/>
    </row>
    <row r="31" spans="2:17" ht="14.65" thickBot="1" x14ac:dyDescent="0.5">
      <c r="B31" s="219"/>
      <c r="C31" s="219"/>
      <c r="D31" s="234" t="s">
        <v>207</v>
      </c>
      <c r="E31" s="306">
        <f t="shared" ref="E31:N31" si="4">E27+E28</f>
        <v>2000000</v>
      </c>
      <c r="F31" s="306">
        <f t="shared" si="4"/>
        <v>250000</v>
      </c>
      <c r="G31" s="306">
        <f t="shared" si="4"/>
        <v>0</v>
      </c>
      <c r="H31" s="306">
        <f t="shared" si="4"/>
        <v>-49900.054195567121</v>
      </c>
      <c r="I31" s="306">
        <f t="shared" si="4"/>
        <v>-49949.977126975107</v>
      </c>
      <c r="J31" s="306">
        <f t="shared" si="4"/>
        <v>-49999.950004202154</v>
      </c>
      <c r="K31" s="306">
        <f t="shared" si="4"/>
        <v>-50049.972877217042</v>
      </c>
      <c r="L31" s="306">
        <f t="shared" si="4"/>
        <v>-50100.045796038467</v>
      </c>
      <c r="M31" s="306">
        <f t="shared" si="4"/>
        <v>-1.064108801074326E-10</v>
      </c>
      <c r="N31" s="311">
        <f t="shared" si="4"/>
        <v>0</v>
      </c>
      <c r="O31" s="219"/>
      <c r="P31" s="219"/>
    </row>
    <row r="32" spans="2:17" ht="14.65" thickBot="1" x14ac:dyDescent="0.5">
      <c r="B32" s="219"/>
      <c r="C32" s="219"/>
      <c r="D32" s="242"/>
      <c r="E32" s="243"/>
      <c r="F32" s="243"/>
      <c r="G32" s="243"/>
      <c r="H32" s="243"/>
      <c r="I32" s="243"/>
      <c r="J32" s="243"/>
      <c r="K32" s="243"/>
      <c r="L32" s="243"/>
      <c r="M32" s="243"/>
      <c r="N32" s="244"/>
      <c r="O32" s="219"/>
      <c r="P32" s="219"/>
    </row>
    <row r="33" spans="2:16" ht="14.65" thickBot="1" x14ac:dyDescent="0.5">
      <c r="B33" s="219"/>
      <c r="C33" s="219"/>
      <c r="D33" s="245" t="s">
        <v>208</v>
      </c>
      <c r="E33" s="308">
        <f t="shared" ref="E33:N33" si="5">E25+E31</f>
        <v>1923340.6033333333</v>
      </c>
      <c r="F33" s="308">
        <f t="shared" si="5"/>
        <v>-630858.41216666659</v>
      </c>
      <c r="G33" s="308">
        <f t="shared" si="5"/>
        <v>-702715.46153333329</v>
      </c>
      <c r="H33" s="308">
        <f t="shared" si="5"/>
        <v>1171678.4499933219</v>
      </c>
      <c r="I33" s="308">
        <f t="shared" si="5"/>
        <v>3181500.3085306217</v>
      </c>
      <c r="J33" s="308">
        <f t="shared" si="5"/>
        <v>6283600.8638517717</v>
      </c>
      <c r="K33" s="308">
        <f t="shared" si="5"/>
        <v>8610271.1981408354</v>
      </c>
      <c r="L33" s="308">
        <f t="shared" si="5"/>
        <v>10775350.065104827</v>
      </c>
      <c r="M33" s="308">
        <f t="shared" si="5"/>
        <v>11722284.823199479</v>
      </c>
      <c r="N33" s="246">
        <f t="shared" si="5"/>
        <v>11917927.526161788</v>
      </c>
      <c r="O33" s="219"/>
      <c r="P33" s="219"/>
    </row>
    <row r="34" spans="2:16" x14ac:dyDescent="0.45">
      <c r="B34" s="219"/>
      <c r="C34" s="219"/>
      <c r="D34" s="224"/>
      <c r="E34" s="225"/>
      <c r="F34" s="225"/>
      <c r="G34" s="225"/>
      <c r="H34" s="225"/>
      <c r="I34" s="225"/>
      <c r="J34" s="225"/>
      <c r="K34" s="225"/>
      <c r="L34" s="225"/>
      <c r="M34" s="225"/>
      <c r="N34" s="226"/>
      <c r="O34" s="219"/>
      <c r="P34" s="219"/>
    </row>
    <row r="35" spans="2:16" x14ac:dyDescent="0.45">
      <c r="B35" s="219"/>
      <c r="C35" s="219"/>
      <c r="D35" s="227" t="s">
        <v>209</v>
      </c>
      <c r="E35" s="229">
        <f>'Balance Sheet'!H29</f>
        <v>24805.9</v>
      </c>
      <c r="F35" s="229">
        <f t="shared" ref="F35:N35" si="6">E37</f>
        <v>1948146.5033333332</v>
      </c>
      <c r="G35" s="229">
        <f t="shared" si="6"/>
        <v>1317288.0911666667</v>
      </c>
      <c r="H35" s="229">
        <f t="shared" si="6"/>
        <v>614572.62963333342</v>
      </c>
      <c r="I35" s="229">
        <f t="shared" si="6"/>
        <v>1786251.0796266552</v>
      </c>
      <c r="J35" s="229">
        <f t="shared" si="6"/>
        <v>4967751.3881572764</v>
      </c>
      <c r="K35" s="229">
        <f t="shared" si="6"/>
        <v>11251352.252009049</v>
      </c>
      <c r="L35" s="229">
        <f t="shared" si="6"/>
        <v>19861623.450149886</v>
      </c>
      <c r="M35" s="229">
        <f t="shared" si="6"/>
        <v>30636973.515254714</v>
      </c>
      <c r="N35" s="230">
        <f t="shared" si="6"/>
        <v>42359258.338454194</v>
      </c>
      <c r="O35" s="219"/>
      <c r="P35" s="219"/>
    </row>
    <row r="36" spans="2:16" ht="14.65" thickBot="1" x14ac:dyDescent="0.5">
      <c r="B36" s="219"/>
      <c r="C36" s="219"/>
      <c r="D36" s="231" t="s">
        <v>210</v>
      </c>
      <c r="E36" s="232">
        <f t="shared" ref="E36:N36" si="7">E33</f>
        <v>1923340.6033333333</v>
      </c>
      <c r="F36" s="232">
        <f t="shared" si="7"/>
        <v>-630858.41216666659</v>
      </c>
      <c r="G36" s="232">
        <f t="shared" si="7"/>
        <v>-702715.46153333329</v>
      </c>
      <c r="H36" s="232">
        <f t="shared" si="7"/>
        <v>1171678.4499933219</v>
      </c>
      <c r="I36" s="232">
        <f t="shared" si="7"/>
        <v>3181500.3085306217</v>
      </c>
      <c r="J36" s="232">
        <f t="shared" si="7"/>
        <v>6283600.8638517717</v>
      </c>
      <c r="K36" s="232">
        <f t="shared" si="7"/>
        <v>8610271.1981408354</v>
      </c>
      <c r="L36" s="232">
        <f t="shared" si="7"/>
        <v>10775350.065104827</v>
      </c>
      <c r="M36" s="232">
        <f t="shared" si="7"/>
        <v>11722284.823199479</v>
      </c>
      <c r="N36" s="233">
        <f t="shared" si="7"/>
        <v>11917927.526161788</v>
      </c>
      <c r="O36" s="219"/>
      <c r="P36" s="219"/>
    </row>
    <row r="37" spans="2:16" ht="14.65" thickBot="1" x14ac:dyDescent="0.5">
      <c r="B37" s="219"/>
      <c r="C37" s="219"/>
      <c r="D37" s="247" t="s">
        <v>211</v>
      </c>
      <c r="E37" s="309">
        <f t="shared" ref="E37:N37" si="8">E35+E36</f>
        <v>1948146.5033333332</v>
      </c>
      <c r="F37" s="309">
        <f t="shared" si="8"/>
        <v>1317288.0911666667</v>
      </c>
      <c r="G37" s="309">
        <f t="shared" si="8"/>
        <v>614572.62963333342</v>
      </c>
      <c r="H37" s="309">
        <f t="shared" si="8"/>
        <v>1786251.0796266552</v>
      </c>
      <c r="I37" s="309">
        <f t="shared" si="8"/>
        <v>4967751.3881572764</v>
      </c>
      <c r="J37" s="309">
        <f t="shared" si="8"/>
        <v>11251352.252009049</v>
      </c>
      <c r="K37" s="309">
        <f t="shared" si="8"/>
        <v>19861623.450149886</v>
      </c>
      <c r="L37" s="309">
        <f t="shared" si="8"/>
        <v>30636973.515254714</v>
      </c>
      <c r="M37" s="309">
        <f t="shared" si="8"/>
        <v>42359258.338454194</v>
      </c>
      <c r="N37" s="313">
        <f t="shared" si="8"/>
        <v>54277185.864615984</v>
      </c>
      <c r="O37" s="219"/>
      <c r="P37" s="219"/>
    </row>
    <row r="38" spans="2:16" x14ac:dyDescent="0.45"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</row>
  </sheetData>
  <phoneticPr fontId="26" type="noConversion"/>
  <conditionalFormatting sqref="E6:N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Hypothèses de recrutement</vt:lpstr>
      <vt:lpstr>Hypothèses de coûts</vt:lpstr>
      <vt:lpstr>Hypothèses de revenus</vt:lpstr>
      <vt:lpstr>Hypothèses de financement</vt:lpstr>
      <vt:lpstr>Hypothèses de CAPEX</vt:lpstr>
      <vt:lpstr>Compte de résultat</vt:lpstr>
      <vt:lpstr>Balance Sheet</vt:lpstr>
      <vt:lpstr>Calcul du CIR</vt:lpstr>
      <vt:lpstr>Flux de trésorerie (p)</vt:lpstr>
      <vt:lpstr>DCF model</vt:lpstr>
      <vt:lpstr>Amortissement dettes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 Serradeill</dc:creator>
  <cp:lastModifiedBy>mati</cp:lastModifiedBy>
  <dcterms:created xsi:type="dcterms:W3CDTF">2015-06-05T18:19:34Z</dcterms:created>
  <dcterms:modified xsi:type="dcterms:W3CDTF">2021-09-07T15:47:50Z</dcterms:modified>
</cp:coreProperties>
</file>